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scal_Affairs\Active Fiscal Affairs\Student Life Fees\FY24\"/>
    </mc:Choice>
  </mc:AlternateContent>
  <xr:revisionPtr revIDLastSave="0" documentId="13_ncr:1_{EB95686A-2DA7-46E5-9F38-30C2CC02A683}" xr6:coauthVersionLast="47" xr6:coauthVersionMax="47" xr10:uidLastSave="{00000000-0000-0000-0000-000000000000}"/>
  <bookViews>
    <workbookView xWindow="-120" yWindow="-120" windowWidth="29040" windowHeight="15840" xr2:uid="{AB1049B1-F1E1-4BB7-8A30-E1C0A640729B}"/>
  </bookViews>
  <sheets>
    <sheet name="FY24 SFMC discussion 3-29-23 " sheetId="1" r:id="rId1"/>
  </sheets>
  <definedNames>
    <definedName name="_xlnm.Print_Area" localSheetId="0">'FY24 SFMC discussion 3-29-23 '!$A$1:$BA$89</definedName>
    <definedName name="_xlnm.Print_Titles" localSheetId="0">'FY24 SFMC discussion 3-29-23 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29" i="1" l="1"/>
  <c r="AZ51" i="1" s="1"/>
  <c r="AZ54" i="1"/>
  <c r="BA54" i="1" s="1"/>
  <c r="BA69" i="1" s="1"/>
  <c r="AX78" i="1"/>
  <c r="M119" i="1"/>
  <c r="L119" i="1"/>
  <c r="K119" i="1"/>
  <c r="J119" i="1"/>
  <c r="M116" i="1"/>
  <c r="M117" i="1" s="1"/>
  <c r="L116" i="1"/>
  <c r="L117" i="1" s="1"/>
  <c r="L115" i="1"/>
  <c r="K115" i="1"/>
  <c r="J115" i="1"/>
  <c r="K116" i="1" s="1"/>
  <c r="K117" i="1" s="1"/>
  <c r="I115" i="1"/>
  <c r="J116" i="1" s="1"/>
  <c r="J117" i="1" s="1"/>
  <c r="AJ94" i="1"/>
  <c r="AJ97" i="1" s="1"/>
  <c r="AW85" i="1"/>
  <c r="AU85" i="1"/>
  <c r="AK85" i="1"/>
  <c r="AA85" i="1"/>
  <c r="V85" i="1"/>
  <c r="Q85" i="1"/>
  <c r="P85" i="1"/>
  <c r="L85" i="1"/>
  <c r="AY84" i="1"/>
  <c r="AZ84" i="1" s="1"/>
  <c r="BA84" i="1" s="1"/>
  <c r="AX84" i="1"/>
  <c r="AX85" i="1" s="1"/>
  <c r="AW84" i="1"/>
  <c r="AU84" i="1"/>
  <c r="AT84" i="1"/>
  <c r="AT85" i="1" s="1"/>
  <c r="AR84" i="1"/>
  <c r="AR85" i="1" s="1"/>
  <c r="AQ84" i="1"/>
  <c r="AQ85" i="1" s="1"/>
  <c r="AO84" i="1"/>
  <c r="AO85" i="1" s="1"/>
  <c r="AN84" i="1"/>
  <c r="AN85" i="1" s="1"/>
  <c r="AL84" i="1"/>
  <c r="AK84" i="1"/>
  <c r="AG84" i="1"/>
  <c r="AG85" i="1" s="1"/>
  <c r="AE84" i="1"/>
  <c r="AE85" i="1" s="1"/>
  <c r="AC84" i="1"/>
  <c r="AD84" i="1" s="1"/>
  <c r="AB84" i="1"/>
  <c r="AA84" i="1"/>
  <c r="Y84" i="1"/>
  <c r="Y85" i="1" s="1"/>
  <c r="Z85" i="1" s="1"/>
  <c r="W84" i="1"/>
  <c r="W85" i="1" s="1"/>
  <c r="X85" i="1" s="1"/>
  <c r="V84" i="1"/>
  <c r="L84" i="1"/>
  <c r="BA83" i="1"/>
  <c r="AZ83" i="1"/>
  <c r="AL83" i="1"/>
  <c r="AH83" i="1"/>
  <c r="AF83" i="1"/>
  <c r="AD83" i="1"/>
  <c r="AB83" i="1"/>
  <c r="Z83" i="1"/>
  <c r="X83" i="1"/>
  <c r="V83" i="1"/>
  <c r="L83" i="1"/>
  <c r="AK81" i="1"/>
  <c r="AG81" i="1"/>
  <c r="AE81" i="1"/>
  <c r="AC81" i="1"/>
  <c r="AU80" i="1"/>
  <c r="AK80" i="1"/>
  <c r="AG80" i="1"/>
  <c r="AE80" i="1"/>
  <c r="S80" i="1"/>
  <c r="H80" i="1"/>
  <c r="AC77" i="1"/>
  <c r="P77" i="1"/>
  <c r="AC76" i="1"/>
  <c r="BA75" i="1"/>
  <c r="AX75" i="1"/>
  <c r="AW75" i="1"/>
  <c r="AU75" i="1"/>
  <c r="AT75" i="1"/>
  <c r="AT81" i="1" s="1"/>
  <c r="AR75" i="1"/>
  <c r="AR80" i="1" s="1"/>
  <c r="AQ75" i="1"/>
  <c r="AO75" i="1"/>
  <c r="AO80" i="1" s="1"/>
  <c r="AN75" i="1"/>
  <c r="AN80" i="1" s="1"/>
  <c r="W75" i="1"/>
  <c r="W80" i="1" s="1"/>
  <c r="U75" i="1"/>
  <c r="U80" i="1" s="1"/>
  <c r="AI73" i="1"/>
  <c r="AG73" i="1"/>
  <c r="AE73" i="1"/>
  <c r="AC73" i="1"/>
  <c r="AA73" i="1"/>
  <c r="Y73" i="1"/>
  <c r="Z73" i="1" s="1"/>
  <c r="W73" i="1"/>
  <c r="V73" i="1"/>
  <c r="U73" i="1"/>
  <c r="X72" i="1"/>
  <c r="X73" i="1" s="1"/>
  <c r="AZ69" i="1"/>
  <c r="AY69" i="1"/>
  <c r="AY74" i="1" s="1"/>
  <c r="AV69" i="1"/>
  <c r="AV74" i="1" s="1"/>
  <c r="AS69" i="1"/>
  <c r="AR69" i="1"/>
  <c r="AR74" i="1" s="1"/>
  <c r="AR76" i="1" s="1"/>
  <c r="AP69" i="1"/>
  <c r="AP74" i="1" s="1"/>
  <c r="AO69" i="1"/>
  <c r="AL69" i="1"/>
  <c r="AG69" i="1"/>
  <c r="AC69" i="1"/>
  <c r="AB69" i="1"/>
  <c r="AB74" i="1" s="1"/>
  <c r="AA69" i="1"/>
  <c r="AA74" i="1" s="1"/>
  <c r="Z69" i="1"/>
  <c r="Y69" i="1"/>
  <c r="W69" i="1"/>
  <c r="W74" i="1" s="1"/>
  <c r="U69" i="1"/>
  <c r="T69" i="1"/>
  <c r="T74" i="1" s="1"/>
  <c r="S69" i="1"/>
  <c r="S74" i="1" s="1"/>
  <c r="R69" i="1"/>
  <c r="R74" i="1" s="1"/>
  <c r="Q69" i="1"/>
  <c r="P69" i="1"/>
  <c r="P74" i="1" s="1"/>
  <c r="O69" i="1"/>
  <c r="O74" i="1" s="1"/>
  <c r="M69" i="1"/>
  <c r="L69" i="1"/>
  <c r="L74" i="1" s="1"/>
  <c r="J69" i="1"/>
  <c r="J74" i="1" s="1"/>
  <c r="J79" i="1" s="1"/>
  <c r="I69" i="1"/>
  <c r="G69" i="1"/>
  <c r="G74" i="1" s="1"/>
  <c r="G79" i="1" s="1"/>
  <c r="F69" i="1"/>
  <c r="E69" i="1"/>
  <c r="D69" i="1"/>
  <c r="D74" i="1" s="1"/>
  <c r="D79" i="1" s="1"/>
  <c r="BA68" i="1"/>
  <c r="AW68" i="1"/>
  <c r="AT68" i="1"/>
  <c r="AQ68" i="1"/>
  <c r="AM68" i="1"/>
  <c r="AN68" i="1" s="1"/>
  <c r="AK68" i="1"/>
  <c r="AJ68" i="1"/>
  <c r="AH68" i="1"/>
  <c r="AF68" i="1"/>
  <c r="AD68" i="1"/>
  <c r="AB68" i="1"/>
  <c r="Z68" i="1"/>
  <c r="X68" i="1"/>
  <c r="H68" i="1"/>
  <c r="H69" i="1" s="1"/>
  <c r="H74" i="1" s="1"/>
  <c r="BA67" i="1"/>
  <c r="AX67" i="1"/>
  <c r="AX69" i="1" s="1"/>
  <c r="AX74" i="1" s="1"/>
  <c r="AX76" i="1" s="1"/>
  <c r="AW67" i="1"/>
  <c r="AU67" i="1"/>
  <c r="AU69" i="1" s="1"/>
  <c r="AU74" i="1" s="1"/>
  <c r="AU76" i="1" s="1"/>
  <c r="AR67" i="1"/>
  <c r="AT67" i="1" s="1"/>
  <c r="AQ67" i="1"/>
  <c r="AM67" i="1"/>
  <c r="AN67" i="1" s="1"/>
  <c r="AJ67" i="1"/>
  <c r="AK67" i="1" s="1"/>
  <c r="AH67" i="1"/>
  <c r="AF67" i="1"/>
  <c r="AD67" i="1"/>
  <c r="AB67" i="1"/>
  <c r="Z67" i="1"/>
  <c r="X67" i="1"/>
  <c r="V67" i="1"/>
  <c r="BA66" i="1"/>
  <c r="AW66" i="1"/>
  <c r="AT66" i="1"/>
  <c r="AQ66" i="1"/>
  <c r="AM66" i="1"/>
  <c r="AN66" i="1" s="1"/>
  <c r="AJ66" i="1"/>
  <c r="AK66" i="1" s="1"/>
  <c r="AH66" i="1"/>
  <c r="AF66" i="1"/>
  <c r="AD66" i="1"/>
  <c r="AB66" i="1"/>
  <c r="Z66" i="1"/>
  <c r="X66" i="1"/>
  <c r="BA65" i="1"/>
  <c r="AW65" i="1"/>
  <c r="AT65" i="1"/>
  <c r="AQ65" i="1"/>
  <c r="AN65" i="1"/>
  <c r="AM65" i="1"/>
  <c r="AK65" i="1"/>
  <c r="AJ65" i="1"/>
  <c r="AH65" i="1"/>
  <c r="AF65" i="1"/>
  <c r="AD65" i="1"/>
  <c r="AB65" i="1"/>
  <c r="Z65" i="1"/>
  <c r="X65" i="1"/>
  <c r="K65" i="1"/>
  <c r="K69" i="1" s="1"/>
  <c r="H65" i="1"/>
  <c r="BA64" i="1"/>
  <c r="AZ64" i="1"/>
  <c r="AW64" i="1"/>
  <c r="AT64" i="1"/>
  <c r="AQ64" i="1"/>
  <c r="AN64" i="1"/>
  <c r="AM64" i="1"/>
  <c r="AK64" i="1"/>
  <c r="AJ64" i="1"/>
  <c r="AH64" i="1"/>
  <c r="AF64" i="1"/>
  <c r="AD64" i="1"/>
  <c r="AB64" i="1"/>
  <c r="Z64" i="1"/>
  <c r="X64" i="1"/>
  <c r="BA63" i="1"/>
  <c r="AW63" i="1"/>
  <c r="AT63" i="1"/>
  <c r="AQ63" i="1"/>
  <c r="AN63" i="1"/>
  <c r="AI63" i="1"/>
  <c r="AI69" i="1" s="1"/>
  <c r="AH63" i="1"/>
  <c r="AF63" i="1"/>
  <c r="AD63" i="1"/>
  <c r="AB63" i="1"/>
  <c r="Z63" i="1"/>
  <c r="X63" i="1"/>
  <c r="V63" i="1"/>
  <c r="N63" i="1"/>
  <c r="N69" i="1" s="1"/>
  <c r="H63" i="1"/>
  <c r="BA62" i="1"/>
  <c r="AW62" i="1"/>
  <c r="AT62" i="1"/>
  <c r="AQ62" i="1"/>
  <c r="AM62" i="1"/>
  <c r="AN62" i="1" s="1"/>
  <c r="AJ62" i="1"/>
  <c r="AK62" i="1" s="1"/>
  <c r="AE62" i="1"/>
  <c r="AH62" i="1" s="1"/>
  <c r="AD62" i="1"/>
  <c r="AB62" i="1"/>
  <c r="Z62" i="1"/>
  <c r="X62" i="1"/>
  <c r="V62" i="1"/>
  <c r="BA61" i="1"/>
  <c r="AW61" i="1"/>
  <c r="AT61" i="1"/>
  <c r="AQ61" i="1"/>
  <c r="AN61" i="1"/>
  <c r="AM61" i="1"/>
  <c r="AK61" i="1"/>
  <c r="AJ61" i="1"/>
  <c r="AE61" i="1"/>
  <c r="AE69" i="1" s="1"/>
  <c r="AE74" i="1" s="1"/>
  <c r="AD61" i="1"/>
  <c r="AB61" i="1"/>
  <c r="Z61" i="1"/>
  <c r="X61" i="1"/>
  <c r="BA60" i="1"/>
  <c r="AW60" i="1"/>
  <c r="AT60" i="1"/>
  <c r="AQ60" i="1"/>
  <c r="AN60" i="1"/>
  <c r="AH60" i="1"/>
  <c r="AF60" i="1"/>
  <c r="AD60" i="1"/>
  <c r="AB60" i="1"/>
  <c r="Z60" i="1"/>
  <c r="X60" i="1"/>
  <c r="V60" i="1"/>
  <c r="BA59" i="1"/>
  <c r="AW59" i="1"/>
  <c r="AT59" i="1"/>
  <c r="AQ59" i="1"/>
  <c r="AM59" i="1"/>
  <c r="AN59" i="1" s="1"/>
  <c r="AJ59" i="1"/>
  <c r="AK59" i="1" s="1"/>
  <c r="AH59" i="1"/>
  <c r="AF59" i="1"/>
  <c r="AD59" i="1"/>
  <c r="AB59" i="1"/>
  <c r="Z59" i="1"/>
  <c r="X59" i="1"/>
  <c r="V59" i="1"/>
  <c r="BA58" i="1"/>
  <c r="AW58" i="1"/>
  <c r="AT58" i="1"/>
  <c r="AQ58" i="1"/>
  <c r="AN58" i="1"/>
  <c r="AK58" i="1"/>
  <c r="AJ58" i="1"/>
  <c r="AH58" i="1"/>
  <c r="AF58" i="1"/>
  <c r="AD58" i="1"/>
  <c r="AB58" i="1"/>
  <c r="Z58" i="1"/>
  <c r="X58" i="1"/>
  <c r="X69" i="1" s="1"/>
  <c r="V58" i="1"/>
  <c r="V69" i="1" s="1"/>
  <c r="BA57" i="1"/>
  <c r="AW57" i="1"/>
  <c r="AT57" i="1"/>
  <c r="AQ57" i="1"/>
  <c r="AN57" i="1"/>
  <c r="AJ57" i="1"/>
  <c r="AJ69" i="1" s="1"/>
  <c r="AH57" i="1"/>
  <c r="AF57" i="1"/>
  <c r="BA56" i="1"/>
  <c r="AW56" i="1"/>
  <c r="AT56" i="1"/>
  <c r="AQ56" i="1"/>
  <c r="BA55" i="1"/>
  <c r="AW54" i="1"/>
  <c r="AW69" i="1" s="1"/>
  <c r="AT54" i="1"/>
  <c r="AQ54" i="1"/>
  <c r="AQ69" i="1" s="1"/>
  <c r="AM54" i="1"/>
  <c r="AM69" i="1" s="1"/>
  <c r="AJ54" i="1"/>
  <c r="AK54" i="1" s="1"/>
  <c r="AH54" i="1"/>
  <c r="AF54" i="1"/>
  <c r="AD54" i="1"/>
  <c r="AD69" i="1" s="1"/>
  <c r="AD74" i="1" s="1"/>
  <c r="AY51" i="1"/>
  <c r="AX51" i="1"/>
  <c r="AV51" i="1"/>
  <c r="AU51" i="1"/>
  <c r="AS51" i="1"/>
  <c r="AR51" i="1"/>
  <c r="AP51" i="1"/>
  <c r="AO51" i="1"/>
  <c r="AL51" i="1"/>
  <c r="AK51" i="1"/>
  <c r="AJ51" i="1"/>
  <c r="AI51" i="1"/>
  <c r="AG51" i="1"/>
  <c r="AE51" i="1"/>
  <c r="AC51" i="1"/>
  <c r="AA51" i="1"/>
  <c r="Z51" i="1"/>
  <c r="Y51" i="1"/>
  <c r="W51" i="1"/>
  <c r="U51" i="1"/>
  <c r="T51" i="1"/>
  <c r="S51" i="1"/>
  <c r="R51" i="1"/>
  <c r="Q51" i="1"/>
  <c r="P51" i="1"/>
  <c r="O51" i="1"/>
  <c r="M51" i="1"/>
  <c r="L51" i="1"/>
  <c r="K51" i="1"/>
  <c r="J51" i="1"/>
  <c r="H51" i="1"/>
  <c r="G51" i="1"/>
  <c r="F51" i="1"/>
  <c r="E51" i="1"/>
  <c r="D51" i="1"/>
  <c r="BA50" i="1"/>
  <c r="AM50" i="1"/>
  <c r="AH50" i="1"/>
  <c r="AF50" i="1"/>
  <c r="AD50" i="1"/>
  <c r="AB50" i="1"/>
  <c r="Z50" i="1"/>
  <c r="BA49" i="1"/>
  <c r="AM49" i="1"/>
  <c r="AH49" i="1"/>
  <c r="AF49" i="1"/>
  <c r="AD49" i="1"/>
  <c r="AB49" i="1"/>
  <c r="Z49" i="1"/>
  <c r="BA48" i="1"/>
  <c r="AM48" i="1"/>
  <c r="AH48" i="1"/>
  <c r="AF48" i="1"/>
  <c r="AD48" i="1"/>
  <c r="AB48" i="1"/>
  <c r="Z48" i="1"/>
  <c r="BA47" i="1"/>
  <c r="AM47" i="1"/>
  <c r="AH47" i="1"/>
  <c r="AF47" i="1"/>
  <c r="AD47" i="1"/>
  <c r="AB47" i="1"/>
  <c r="Z47" i="1"/>
  <c r="BA46" i="1"/>
  <c r="AM46" i="1"/>
  <c r="AH46" i="1"/>
  <c r="AF46" i="1"/>
  <c r="AD46" i="1"/>
  <c r="AB46" i="1"/>
  <c r="Z46" i="1"/>
  <c r="X46" i="1"/>
  <c r="V46" i="1"/>
  <c r="BA45" i="1"/>
  <c r="AM45" i="1"/>
  <c r="AH45" i="1"/>
  <c r="AF45" i="1"/>
  <c r="AD45" i="1"/>
  <c r="AB45" i="1"/>
  <c r="Z45" i="1"/>
  <c r="X45" i="1"/>
  <c r="V45" i="1"/>
  <c r="BA44" i="1"/>
  <c r="AM44" i="1"/>
  <c r="AH44" i="1"/>
  <c r="AF44" i="1"/>
  <c r="AD44" i="1"/>
  <c r="AB44" i="1"/>
  <c r="Z44" i="1"/>
  <c r="X44" i="1"/>
  <c r="BA43" i="1"/>
  <c r="AM43" i="1"/>
  <c r="AH43" i="1"/>
  <c r="AF43" i="1"/>
  <c r="AD43" i="1"/>
  <c r="AB43" i="1"/>
  <c r="Z43" i="1"/>
  <c r="X43" i="1"/>
  <c r="BA42" i="1"/>
  <c r="AM42" i="1"/>
  <c r="AH42" i="1"/>
  <c r="AF42" i="1"/>
  <c r="AD42" i="1"/>
  <c r="AB42" i="1"/>
  <c r="Z42" i="1"/>
  <c r="X42" i="1"/>
  <c r="V42" i="1"/>
  <c r="BA41" i="1"/>
  <c r="AM41" i="1"/>
  <c r="AH41" i="1"/>
  <c r="AF41" i="1"/>
  <c r="AD41" i="1"/>
  <c r="AB41" i="1"/>
  <c r="Z41" i="1"/>
  <c r="X41" i="1"/>
  <c r="V41" i="1"/>
  <c r="BA40" i="1"/>
  <c r="AM40" i="1"/>
  <c r="AH40" i="1"/>
  <c r="AF40" i="1"/>
  <c r="AD40" i="1"/>
  <c r="AB40" i="1"/>
  <c r="Z40" i="1"/>
  <c r="X40" i="1"/>
  <c r="BA39" i="1"/>
  <c r="AM39" i="1"/>
  <c r="AH39" i="1"/>
  <c r="AF39" i="1"/>
  <c r="AD39" i="1"/>
  <c r="AB39" i="1"/>
  <c r="Z39" i="1"/>
  <c r="X39" i="1"/>
  <c r="V39" i="1"/>
  <c r="BA38" i="1"/>
  <c r="AM38" i="1"/>
  <c r="AH38" i="1"/>
  <c r="AF38" i="1"/>
  <c r="AD38" i="1"/>
  <c r="AB38" i="1"/>
  <c r="Z38" i="1"/>
  <c r="X38" i="1"/>
  <c r="V38" i="1"/>
  <c r="BA37" i="1"/>
  <c r="AM37" i="1"/>
  <c r="AH37" i="1"/>
  <c r="AF37" i="1"/>
  <c r="AD37" i="1"/>
  <c r="AB37" i="1"/>
  <c r="Z37" i="1"/>
  <c r="X37" i="1"/>
  <c r="V37" i="1"/>
  <c r="BA36" i="1"/>
  <c r="AM36" i="1"/>
  <c r="AH36" i="1"/>
  <c r="AF36" i="1"/>
  <c r="AD36" i="1"/>
  <c r="AB36" i="1"/>
  <c r="Z36" i="1"/>
  <c r="X36" i="1"/>
  <c r="N36" i="1"/>
  <c r="N51" i="1" s="1"/>
  <c r="BA35" i="1"/>
  <c r="AM35" i="1"/>
  <c r="AH35" i="1"/>
  <c r="AF35" i="1"/>
  <c r="AD35" i="1"/>
  <c r="AB35" i="1"/>
  <c r="Z35" i="1"/>
  <c r="X35" i="1"/>
  <c r="V35" i="1"/>
  <c r="BA34" i="1"/>
  <c r="AM34" i="1"/>
  <c r="AH34" i="1"/>
  <c r="AF34" i="1"/>
  <c r="AD34" i="1"/>
  <c r="AB34" i="1"/>
  <c r="Z34" i="1"/>
  <c r="X34" i="1"/>
  <c r="BA33" i="1"/>
  <c r="AM33" i="1"/>
  <c r="AH33" i="1"/>
  <c r="AF33" i="1"/>
  <c r="AD33" i="1"/>
  <c r="AB33" i="1"/>
  <c r="Z33" i="1"/>
  <c r="X33" i="1"/>
  <c r="V33" i="1"/>
  <c r="BA32" i="1"/>
  <c r="AM32" i="1"/>
  <c r="AH32" i="1"/>
  <c r="AF32" i="1"/>
  <c r="AF51" i="1" s="1"/>
  <c r="AD32" i="1"/>
  <c r="AB32" i="1"/>
  <c r="Z32" i="1"/>
  <c r="X32" i="1"/>
  <c r="X51" i="1" s="1"/>
  <c r="V32" i="1"/>
  <c r="V51" i="1" s="1"/>
  <c r="BA31" i="1"/>
  <c r="AM31" i="1"/>
  <c r="AH31" i="1"/>
  <c r="AF31" i="1"/>
  <c r="AD31" i="1"/>
  <c r="AB31" i="1"/>
  <c r="AB51" i="1" s="1"/>
  <c r="Z31" i="1"/>
  <c r="X31" i="1"/>
  <c r="BA30" i="1"/>
  <c r="AW30" i="1"/>
  <c r="AT30" i="1"/>
  <c r="AQ30" i="1"/>
  <c r="AN30" i="1"/>
  <c r="AM30" i="1"/>
  <c r="AK30" i="1"/>
  <c r="AJ30" i="1"/>
  <c r="AH30" i="1"/>
  <c r="AF30" i="1"/>
  <c r="AD30" i="1"/>
  <c r="AB30" i="1"/>
  <c r="Z30" i="1"/>
  <c r="X30" i="1"/>
  <c r="V30" i="1"/>
  <c r="AW29" i="1"/>
  <c r="AW51" i="1" s="1"/>
  <c r="AT29" i="1"/>
  <c r="AT51" i="1" s="1"/>
  <c r="AQ29" i="1"/>
  <c r="AQ51" i="1" s="1"/>
  <c r="AN29" i="1"/>
  <c r="AN51" i="1" s="1"/>
  <c r="AM29" i="1"/>
  <c r="AM51" i="1" s="1"/>
  <c r="AK29" i="1"/>
  <c r="AJ29" i="1"/>
  <c r="AH29" i="1"/>
  <c r="AH51" i="1" s="1"/>
  <c r="AF29" i="1"/>
  <c r="AD29" i="1"/>
  <c r="AD51" i="1" s="1"/>
  <c r="AZ26" i="1"/>
  <c r="AY26" i="1"/>
  <c r="AX26" i="1"/>
  <c r="AV26" i="1"/>
  <c r="AU26" i="1"/>
  <c r="AT26" i="1"/>
  <c r="AS26" i="1"/>
  <c r="AS74" i="1" s="1"/>
  <c r="AR26" i="1"/>
  <c r="AP26" i="1"/>
  <c r="AO26" i="1"/>
  <c r="AO74" i="1" s="1"/>
  <c r="AO76" i="1" s="1"/>
  <c r="AL26" i="1"/>
  <c r="AL74" i="1" s="1"/>
  <c r="AG26" i="1"/>
  <c r="AC26" i="1"/>
  <c r="AC74" i="1" s="1"/>
  <c r="AC79" i="1" s="1"/>
  <c r="AA26" i="1"/>
  <c r="Y26" i="1"/>
  <c r="Y74" i="1" s="1"/>
  <c r="W26" i="1"/>
  <c r="U26" i="1"/>
  <c r="U74" i="1" s="1"/>
  <c r="T26" i="1"/>
  <c r="S26" i="1"/>
  <c r="R26" i="1"/>
  <c r="Q26" i="1"/>
  <c r="Q74" i="1" s="1"/>
  <c r="P26" i="1"/>
  <c r="O26" i="1"/>
  <c r="N26" i="1"/>
  <c r="M26" i="1"/>
  <c r="M74" i="1" s="1"/>
  <c r="L26" i="1"/>
  <c r="K26" i="1"/>
  <c r="J26" i="1"/>
  <c r="I26" i="1"/>
  <c r="I74" i="1" s="1"/>
  <c r="H26" i="1"/>
  <c r="G26" i="1"/>
  <c r="F26" i="1"/>
  <c r="F74" i="1" s="1"/>
  <c r="D26" i="1"/>
  <c r="BA25" i="1"/>
  <c r="AW25" i="1"/>
  <c r="AT25" i="1"/>
  <c r="AQ25" i="1"/>
  <c r="AM25" i="1"/>
  <c r="AN25" i="1" s="1"/>
  <c r="AJ25" i="1"/>
  <c r="AK25" i="1" s="1"/>
  <c r="AH25" i="1"/>
  <c r="AF25" i="1"/>
  <c r="AD25" i="1"/>
  <c r="AB25" i="1"/>
  <c r="Z25" i="1"/>
  <c r="X25" i="1"/>
  <c r="V25" i="1"/>
  <c r="BA24" i="1"/>
  <c r="AW24" i="1"/>
  <c r="AT24" i="1"/>
  <c r="AQ24" i="1"/>
  <c r="AM24" i="1"/>
  <c r="AN24" i="1" s="1"/>
  <c r="AJ24" i="1"/>
  <c r="AK24" i="1" s="1"/>
  <c r="AI24" i="1"/>
  <c r="AG24" i="1"/>
  <c r="AE24" i="1"/>
  <c r="AH24" i="1" s="1"/>
  <c r="AD24" i="1"/>
  <c r="AD26" i="1" s="1"/>
  <c r="AB24" i="1"/>
  <c r="Z24" i="1"/>
  <c r="X24" i="1"/>
  <c r="V24" i="1"/>
  <c r="K24" i="1"/>
  <c r="BA23" i="1"/>
  <c r="AW23" i="1"/>
  <c r="AT23" i="1"/>
  <c r="AQ23" i="1"/>
  <c r="AM23" i="1"/>
  <c r="AN23" i="1" s="1"/>
  <c r="AK23" i="1"/>
  <c r="AJ23" i="1"/>
  <c r="AH23" i="1"/>
  <c r="AF23" i="1"/>
  <c r="AD23" i="1"/>
  <c r="AB23" i="1"/>
  <c r="Z23" i="1"/>
  <c r="X23" i="1"/>
  <c r="V23" i="1"/>
  <c r="BA22" i="1"/>
  <c r="AW22" i="1"/>
  <c r="AW26" i="1" s="1"/>
  <c r="AT22" i="1"/>
  <c r="AQ22" i="1"/>
  <c r="AM22" i="1"/>
  <c r="AN22" i="1" s="1"/>
  <c r="AI22" i="1"/>
  <c r="AI26" i="1" s="1"/>
  <c r="AH22" i="1"/>
  <c r="AG22" i="1"/>
  <c r="AF22" i="1"/>
  <c r="AE22" i="1"/>
  <c r="AE26" i="1" s="1"/>
  <c r="AD22" i="1"/>
  <c r="AB22" i="1"/>
  <c r="Z22" i="1"/>
  <c r="X22" i="1"/>
  <c r="V22" i="1"/>
  <c r="V26" i="1" s="1"/>
  <c r="BA21" i="1"/>
  <c r="AW21" i="1"/>
  <c r="AT21" i="1"/>
  <c r="AQ21" i="1"/>
  <c r="AM21" i="1"/>
  <c r="AN21" i="1" s="1"/>
  <c r="AK21" i="1"/>
  <c r="AJ21" i="1"/>
  <c r="AH21" i="1"/>
  <c r="AF21" i="1"/>
  <c r="AD21" i="1"/>
  <c r="AB21" i="1"/>
  <c r="Z21" i="1"/>
  <c r="X21" i="1"/>
  <c r="E21" i="1"/>
  <c r="E26" i="1" s="1"/>
  <c r="E74" i="1" s="1"/>
  <c r="E79" i="1" s="1"/>
  <c r="BA20" i="1"/>
  <c r="AW20" i="1"/>
  <c r="AT20" i="1"/>
  <c r="AQ20" i="1"/>
  <c r="AN20" i="1"/>
  <c r="AH20" i="1"/>
  <c r="AF20" i="1"/>
  <c r="AD20" i="1"/>
  <c r="AB20" i="1"/>
  <c r="Z20" i="1"/>
  <c r="X20" i="1"/>
  <c r="V20" i="1"/>
  <c r="E20" i="1"/>
  <c r="BA19" i="1"/>
  <c r="AW19" i="1"/>
  <c r="AT19" i="1"/>
  <c r="AQ19" i="1"/>
  <c r="AQ26" i="1" s="1"/>
  <c r="AN19" i="1"/>
  <c r="AM19" i="1"/>
  <c r="AM26" i="1" s="1"/>
  <c r="AJ19" i="1"/>
  <c r="AH19" i="1"/>
  <c r="AF19" i="1"/>
  <c r="AD19" i="1"/>
  <c r="AB19" i="1"/>
  <c r="AB26" i="1" s="1"/>
  <c r="Z19" i="1"/>
  <c r="Z26" i="1" s="1"/>
  <c r="X19" i="1"/>
  <c r="X26" i="1" s="1"/>
  <c r="V19" i="1"/>
  <c r="BA16" i="1"/>
  <c r="AZ16" i="1"/>
  <c r="AY16" i="1"/>
  <c r="AX16" i="1"/>
  <c r="AV16" i="1"/>
  <c r="AU16" i="1"/>
  <c r="AS16" i="1"/>
  <c r="AR16" i="1"/>
  <c r="AP16" i="1"/>
  <c r="AO16" i="1"/>
  <c r="AL16" i="1"/>
  <c r="AC16" i="1"/>
  <c r="AA16" i="1"/>
  <c r="Y16" i="1"/>
  <c r="W16" i="1"/>
  <c r="U16" i="1"/>
  <c r="T16" i="1"/>
  <c r="S16" i="1"/>
  <c r="R16" i="1"/>
  <c r="Q16" i="1"/>
  <c r="P16" i="1"/>
  <c r="O16" i="1"/>
  <c r="N16" i="1"/>
  <c r="M16" i="1"/>
  <c r="L16" i="1"/>
  <c r="J16" i="1"/>
  <c r="I16" i="1"/>
  <c r="H16" i="1"/>
  <c r="G16" i="1"/>
  <c r="F16" i="1"/>
  <c r="E16" i="1"/>
  <c r="D16" i="1"/>
  <c r="BA15" i="1"/>
  <c r="AJ15" i="1"/>
  <c r="AH15" i="1"/>
  <c r="AF15" i="1"/>
  <c r="AD15" i="1"/>
  <c r="AB15" i="1"/>
  <c r="Z15" i="1"/>
  <c r="X15" i="1"/>
  <c r="BA14" i="1"/>
  <c r="AW14" i="1"/>
  <c r="AT14" i="1"/>
  <c r="AQ14" i="1"/>
  <c r="AM14" i="1"/>
  <c r="AN14" i="1" s="1"/>
  <c r="AK14" i="1"/>
  <c r="BA13" i="1"/>
  <c r="AW13" i="1"/>
  <c r="AT13" i="1"/>
  <c r="AQ13" i="1"/>
  <c r="AM13" i="1"/>
  <c r="AN13" i="1" s="1"/>
  <c r="AJ13" i="1"/>
  <c r="AK13" i="1" s="1"/>
  <c r="AE13" i="1"/>
  <c r="AH13" i="1" s="1"/>
  <c r="AD13" i="1"/>
  <c r="AB13" i="1"/>
  <c r="Z13" i="1"/>
  <c r="X13" i="1"/>
  <c r="V13" i="1"/>
  <c r="BA12" i="1"/>
  <c r="AW12" i="1"/>
  <c r="AT12" i="1"/>
  <c r="AQ12" i="1"/>
  <c r="AM12" i="1"/>
  <c r="AN12" i="1" s="1"/>
  <c r="AK12" i="1"/>
  <c r="AJ12" i="1"/>
  <c r="AH12" i="1"/>
  <c r="AF12" i="1"/>
  <c r="AD12" i="1"/>
  <c r="AD16" i="1" s="1"/>
  <c r="AB12" i="1"/>
  <c r="Z12" i="1"/>
  <c r="X12" i="1"/>
  <c r="V12" i="1"/>
  <c r="BA11" i="1"/>
  <c r="AW11" i="1"/>
  <c r="AT11" i="1"/>
  <c r="AT16" i="1" s="1"/>
  <c r="AQ11" i="1"/>
  <c r="AM11" i="1"/>
  <c r="AN11" i="1" s="1"/>
  <c r="AK11" i="1"/>
  <c r="AJ11" i="1"/>
  <c r="AI11" i="1"/>
  <c r="AG11" i="1"/>
  <c r="AG16" i="1" s="1"/>
  <c r="AE11" i="1"/>
  <c r="AF11" i="1" s="1"/>
  <c r="AD11" i="1"/>
  <c r="AB11" i="1"/>
  <c r="Z11" i="1"/>
  <c r="X11" i="1"/>
  <c r="V11" i="1"/>
  <c r="BA10" i="1"/>
  <c r="AW10" i="1"/>
  <c r="AT10" i="1"/>
  <c r="AQ10" i="1"/>
  <c r="AN10" i="1"/>
  <c r="AM10" i="1"/>
  <c r="AJ10" i="1"/>
  <c r="AK10" i="1" s="1"/>
  <c r="AH10" i="1"/>
  <c r="AF10" i="1"/>
  <c r="AD10" i="1"/>
  <c r="AB10" i="1"/>
  <c r="Z10" i="1"/>
  <c r="X10" i="1"/>
  <c r="V10" i="1"/>
  <c r="BA9" i="1"/>
  <c r="AW9" i="1"/>
  <c r="AT9" i="1"/>
  <c r="AQ9" i="1"/>
  <c r="AM9" i="1"/>
  <c r="AN9" i="1" s="1"/>
  <c r="AJ9" i="1"/>
  <c r="AK9" i="1" s="1"/>
  <c r="AH9" i="1"/>
  <c r="AF9" i="1"/>
  <c r="AD9" i="1"/>
  <c r="AB9" i="1"/>
  <c r="Z9" i="1"/>
  <c r="X9" i="1"/>
  <c r="V9" i="1"/>
  <c r="BA8" i="1"/>
  <c r="AW8" i="1"/>
  <c r="AT8" i="1"/>
  <c r="AQ8" i="1"/>
  <c r="AM8" i="1"/>
  <c r="AN8" i="1" s="1"/>
  <c r="AJ8" i="1"/>
  <c r="AK8" i="1" s="1"/>
  <c r="AH8" i="1"/>
  <c r="AF8" i="1"/>
  <c r="AD8" i="1"/>
  <c r="AB8" i="1"/>
  <c r="Z8" i="1"/>
  <c r="X8" i="1"/>
  <c r="V8" i="1"/>
  <c r="V16" i="1" s="1"/>
  <c r="BA7" i="1"/>
  <c r="AW7" i="1"/>
  <c r="AT7" i="1"/>
  <c r="AQ7" i="1"/>
  <c r="AM7" i="1"/>
  <c r="AN7" i="1" s="1"/>
  <c r="AJ7" i="1"/>
  <c r="AK7" i="1" s="1"/>
  <c r="AI7" i="1"/>
  <c r="AI16" i="1" s="1"/>
  <c r="AG7" i="1"/>
  <c r="AH7" i="1" s="1"/>
  <c r="AE7" i="1"/>
  <c r="AD7" i="1"/>
  <c r="AB7" i="1"/>
  <c r="Z7" i="1"/>
  <c r="X7" i="1"/>
  <c r="V7" i="1"/>
  <c r="K7" i="1"/>
  <c r="K16" i="1" s="1"/>
  <c r="BA6" i="1"/>
  <c r="AW6" i="1"/>
  <c r="AT6" i="1"/>
  <c r="AQ6" i="1"/>
  <c r="AN6" i="1"/>
  <c r="AM6" i="1"/>
  <c r="AJ6" i="1"/>
  <c r="AK6" i="1" s="1"/>
  <c r="AH6" i="1"/>
  <c r="AF6" i="1"/>
  <c r="AD6" i="1"/>
  <c r="AB6" i="1"/>
  <c r="Z6" i="1"/>
  <c r="X6" i="1"/>
  <c r="BA5" i="1"/>
  <c r="AW5" i="1"/>
  <c r="AT5" i="1"/>
  <c r="AQ5" i="1"/>
  <c r="AM5" i="1"/>
  <c r="AN5" i="1" s="1"/>
  <c r="AJ5" i="1"/>
  <c r="AK5" i="1" s="1"/>
  <c r="AH5" i="1"/>
  <c r="AF5" i="1"/>
  <c r="AE5" i="1"/>
  <c r="AD5" i="1"/>
  <c r="AB5" i="1"/>
  <c r="Z5" i="1"/>
  <c r="X5" i="1"/>
  <c r="BA4" i="1"/>
  <c r="AW4" i="1"/>
  <c r="AW16" i="1" s="1"/>
  <c r="AT4" i="1"/>
  <c r="AQ4" i="1"/>
  <c r="AQ16" i="1" s="1"/>
  <c r="AM4" i="1"/>
  <c r="AJ4" i="1"/>
  <c r="AJ16" i="1" s="1"/>
  <c r="AH4" i="1"/>
  <c r="AF4" i="1"/>
  <c r="AE4" i="1"/>
  <c r="AE16" i="1" s="1"/>
  <c r="AD4" i="1"/>
  <c r="AB4" i="1"/>
  <c r="AB16" i="1" s="1"/>
  <c r="Z4" i="1"/>
  <c r="X4" i="1"/>
  <c r="X16" i="1" s="1"/>
  <c r="AZ74" i="1" l="1"/>
  <c r="BA29" i="1"/>
  <c r="BA51" i="1"/>
  <c r="AN26" i="1"/>
  <c r="AE76" i="1"/>
  <c r="AE77" i="1" s="1"/>
  <c r="AE79" i="1"/>
  <c r="AH85" i="1"/>
  <c r="U79" i="1"/>
  <c r="U76" i="1"/>
  <c r="AL85" i="1"/>
  <c r="S76" i="1"/>
  <c r="S77" i="1" s="1"/>
  <c r="S79" i="1"/>
  <c r="AB85" i="1"/>
  <c r="AM16" i="1"/>
  <c r="AM74" i="1" s="1"/>
  <c r="AN4" i="1"/>
  <c r="AN16" i="1" s="1"/>
  <c r="F79" i="1"/>
  <c r="Y76" i="1"/>
  <c r="Y79" i="1"/>
  <c r="AQ74" i="1"/>
  <c r="K74" i="1"/>
  <c r="K79" i="1" s="1"/>
  <c r="AU77" i="1"/>
  <c r="AU78" i="1" s="1"/>
  <c r="AU81" i="1" s="1"/>
  <c r="AH26" i="1"/>
  <c r="Q76" i="1"/>
  <c r="Q77" i="1" s="1"/>
  <c r="Q79" i="1"/>
  <c r="AT69" i="1"/>
  <c r="AT74" i="1" s="1"/>
  <c r="V74" i="1"/>
  <c r="Z74" i="1"/>
  <c r="Z16" i="1"/>
  <c r="W76" i="1"/>
  <c r="W77" i="1" s="1"/>
  <c r="W79" i="1"/>
  <c r="BD15" i="1"/>
  <c r="AG74" i="1"/>
  <c r="AW74" i="1"/>
  <c r="X74" i="1"/>
  <c r="N74" i="1"/>
  <c r="N79" i="1" s="1"/>
  <c r="AI74" i="1"/>
  <c r="H79" i="1"/>
  <c r="AA76" i="1"/>
  <c r="AA79" i="1"/>
  <c r="AX77" i="1"/>
  <c r="BA26" i="1"/>
  <c r="AN54" i="1"/>
  <c r="AN69" i="1" s="1"/>
  <c r="AN74" i="1" s="1"/>
  <c r="AK57" i="1"/>
  <c r="AK69" i="1" s="1"/>
  <c r="X84" i="1"/>
  <c r="AF84" i="1"/>
  <c r="AF13" i="1"/>
  <c r="AF16" i="1" s="1"/>
  <c r="AK19" i="1"/>
  <c r="AJ22" i="1"/>
  <c r="AK22" i="1" s="1"/>
  <c r="AF24" i="1"/>
  <c r="AF26" i="1" s="1"/>
  <c r="AH61" i="1"/>
  <c r="AH69" i="1" s="1"/>
  <c r="AH74" i="1" s="1"/>
  <c r="AF62" i="1"/>
  <c r="AX80" i="1"/>
  <c r="AN81" i="1"/>
  <c r="AF61" i="1"/>
  <c r="AF69" i="1" s="1"/>
  <c r="AF74" i="1" s="1"/>
  <c r="Y75" i="1"/>
  <c r="W81" i="1"/>
  <c r="Z84" i="1"/>
  <c r="AH84" i="1"/>
  <c r="AC85" i="1"/>
  <c r="AD85" i="1" s="1"/>
  <c r="AY85" i="1"/>
  <c r="AZ85" i="1" s="1"/>
  <c r="BA85" i="1" s="1"/>
  <c r="AH11" i="1"/>
  <c r="AH16" i="1" s="1"/>
  <c r="AQ81" i="1"/>
  <c r="U77" i="1"/>
  <c r="AR81" i="1"/>
  <c r="AO77" i="1"/>
  <c r="AO78" i="1" s="1"/>
  <c r="AO81" i="1" s="1"/>
  <c r="AR77" i="1"/>
  <c r="AK4" i="1"/>
  <c r="AK16" i="1" s="1"/>
  <c r="P79" i="1" l="1"/>
  <c r="Y77" i="1"/>
  <c r="Y81" i="1"/>
  <c r="AA75" i="1"/>
  <c r="Y80" i="1"/>
  <c r="AW76" i="1"/>
  <c r="AW77" i="1" s="1"/>
  <c r="AW78" i="1" s="1"/>
  <c r="AX79" i="1"/>
  <c r="AF85" i="1"/>
  <c r="Q78" i="1"/>
  <c r="R77" i="1"/>
  <c r="L120" i="1"/>
  <c r="L121" i="1" s="1"/>
  <c r="K120" i="1"/>
  <c r="K121" i="1" s="1"/>
  <c r="AO79" i="1"/>
  <c r="AN76" i="1"/>
  <c r="AN77" i="1" s="1"/>
  <c r="AQ76" i="1"/>
  <c r="AQ77" i="1" s="1"/>
  <c r="AR79" i="1"/>
  <c r="J120" i="1"/>
  <c r="J121" i="1" s="1"/>
  <c r="M120" i="1"/>
  <c r="M121" i="1" s="1"/>
  <c r="AK26" i="1"/>
  <c r="AK74" i="1" s="1"/>
  <c r="AG76" i="1"/>
  <c r="AG77" i="1" s="1"/>
  <c r="AG79" i="1"/>
  <c r="AJ26" i="1"/>
  <c r="AJ74" i="1" s="1"/>
  <c r="BA74" i="1"/>
  <c r="BC26" i="1" s="1"/>
  <c r="AT76" i="1"/>
  <c r="AT77" i="1" s="1"/>
  <c r="AU79" i="1"/>
  <c r="AK76" i="1" l="1"/>
  <c r="AK77" i="1" s="1"/>
  <c r="AK79" i="1"/>
  <c r="AN79" i="1"/>
  <c r="AA81" i="1"/>
  <c r="AC80" i="1"/>
  <c r="AA80" i="1"/>
  <c r="AA77" i="1"/>
  <c r="BA81" i="1"/>
  <c r="AX81" i="1"/>
  <c r="AW81" i="1"/>
  <c r="BA76" i="1"/>
  <c r="BA77" i="1" s="1"/>
  <c r="BA78" i="1" s="1"/>
  <c r="BC50" i="1"/>
  <c r="BC10" i="1"/>
  <c r="BC59" i="1"/>
  <c r="BC58" i="1"/>
  <c r="BC54" i="1"/>
  <c r="BC45" i="1"/>
  <c r="BC40" i="1"/>
  <c r="BC31" i="1"/>
  <c r="BC25" i="1"/>
  <c r="BC24" i="1"/>
  <c r="BC48" i="1"/>
  <c r="BC9" i="1"/>
  <c r="BC46" i="1"/>
  <c r="BC41" i="1"/>
  <c r="BC7" i="1"/>
  <c r="BC66" i="1"/>
  <c r="BC64" i="1"/>
  <c r="BC63" i="1"/>
  <c r="BC62" i="1"/>
  <c r="BC44" i="1"/>
  <c r="BC14" i="1"/>
  <c r="BC13" i="1"/>
  <c r="BC32" i="1"/>
  <c r="BC61" i="1"/>
  <c r="BC60" i="1"/>
  <c r="BC43" i="1"/>
  <c r="BC38" i="1"/>
  <c r="BC34" i="1"/>
  <c r="BC12" i="1"/>
  <c r="BC11" i="1"/>
  <c r="BC55" i="1"/>
  <c r="BC47" i="1"/>
  <c r="BC49" i="1"/>
  <c r="BC8" i="1"/>
  <c r="BC20" i="1"/>
  <c r="BC6" i="1"/>
  <c r="BC39" i="1"/>
  <c r="BC30" i="1"/>
  <c r="BC57" i="1"/>
  <c r="BC16" i="1"/>
  <c r="BC5" i="1"/>
  <c r="BC65" i="1"/>
  <c r="BC19" i="1"/>
  <c r="BC51" i="1"/>
  <c r="BC22" i="1"/>
  <c r="BC69" i="1"/>
  <c r="BC23" i="1"/>
  <c r="BC37" i="1"/>
  <c r="BC21" i="1"/>
  <c r="BC29" i="1"/>
  <c r="BC35" i="1"/>
  <c r="BC4" i="1"/>
  <c r="BC36" i="1"/>
  <c r="BC42" i="1"/>
  <c r="BC68" i="1"/>
  <c r="BC67" i="1"/>
  <c r="BC15" i="1"/>
  <c r="BC33" i="1"/>
  <c r="BC5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WSU</author>
    <author>Winona State University</author>
    <author>Setup</author>
  </authors>
  <commentList>
    <comment ref="L11" authorId="0" shapeId="0" xr:uid="{5792AF5A-AA7D-454B-A978-07FA618C5B4C}">
      <text>
        <r>
          <rPr>
            <b/>
            <sz val="8"/>
            <color indexed="81"/>
            <rFont val="Tahoma"/>
            <family val="2"/>
          </rPr>
          <t>WSU:</t>
        </r>
        <r>
          <rPr>
            <sz val="8"/>
            <color indexed="81"/>
            <rFont val="Tahoma"/>
            <family val="2"/>
          </rPr>
          <t xml:space="preserve">
FY06 1 time</t>
        </r>
      </text>
    </comment>
    <comment ref="E20" authorId="1" shapeId="0" xr:uid="{08F55168-DA5B-483A-93D3-8184876DCA89}">
      <text>
        <r>
          <rPr>
            <b/>
            <sz val="8"/>
            <color indexed="81"/>
            <rFont val="Tahoma"/>
            <family val="2"/>
          </rPr>
          <t>Winona State University:</t>
        </r>
        <r>
          <rPr>
            <sz val="8"/>
            <color indexed="81"/>
            <rFont val="Tahoma"/>
            <family val="2"/>
          </rPr>
          <t xml:space="preserve">
PER MEETING NO INCREASE OF $200</t>
        </r>
      </text>
    </comment>
    <comment ref="E21" authorId="1" shapeId="0" xr:uid="{AFAD16DB-B4C0-49E4-B979-F5068DA02993}">
      <text>
        <r>
          <rPr>
            <b/>
            <sz val="8"/>
            <color indexed="81"/>
            <rFont val="Tahoma"/>
            <family val="2"/>
          </rPr>
          <t>Winona State University:</t>
        </r>
        <r>
          <rPr>
            <sz val="8"/>
            <color indexed="81"/>
            <rFont val="Tahoma"/>
            <family val="2"/>
          </rPr>
          <t xml:space="preserve">
PER MEETING, ONLY A $1,000 INCREASE</t>
        </r>
      </text>
    </comment>
    <comment ref="M40" authorId="0" shapeId="0" xr:uid="{5C97049C-B11E-412D-9245-B1BF746F9E0E}">
      <text>
        <r>
          <rPr>
            <b/>
            <sz val="8"/>
            <color indexed="81"/>
            <rFont val="Tahoma"/>
            <family val="2"/>
          </rPr>
          <t>WSU:</t>
        </r>
        <r>
          <rPr>
            <sz val="8"/>
            <color indexed="81"/>
            <rFont val="Tahoma"/>
            <family val="2"/>
          </rPr>
          <t xml:space="preserve">
FY07 1 time
</t>
        </r>
      </text>
    </comment>
    <comment ref="M41" authorId="0" shapeId="0" xr:uid="{1BCF32B1-D823-4259-92D1-573C58434D3B}">
      <text>
        <r>
          <rPr>
            <b/>
            <sz val="8"/>
            <color indexed="81"/>
            <rFont val="Tahoma"/>
            <family val="2"/>
          </rPr>
          <t>WSU:</t>
        </r>
        <r>
          <rPr>
            <sz val="8"/>
            <color indexed="81"/>
            <rFont val="Tahoma"/>
            <family val="2"/>
          </rPr>
          <t xml:space="preserve">
FY07 1 time
</t>
        </r>
      </text>
    </comment>
    <comment ref="M42" authorId="0" shapeId="0" xr:uid="{8A584C84-1F3E-481A-A3F4-49B05839E896}">
      <text>
        <r>
          <rPr>
            <b/>
            <sz val="8"/>
            <color indexed="81"/>
            <rFont val="Tahoma"/>
            <family val="2"/>
          </rPr>
          <t>WSU:</t>
        </r>
        <r>
          <rPr>
            <sz val="8"/>
            <color indexed="81"/>
            <rFont val="Tahoma"/>
            <family val="2"/>
          </rPr>
          <t xml:space="preserve">
FY07 1 time
</t>
        </r>
      </text>
    </comment>
    <comment ref="M43" authorId="0" shapeId="0" xr:uid="{C1D1BD16-A78F-4638-84F1-815FE55BBBE1}">
      <text>
        <r>
          <rPr>
            <b/>
            <sz val="8"/>
            <color indexed="81"/>
            <rFont val="Tahoma"/>
            <family val="2"/>
          </rPr>
          <t>WSU:</t>
        </r>
        <r>
          <rPr>
            <sz val="8"/>
            <color indexed="81"/>
            <rFont val="Tahoma"/>
            <family val="2"/>
          </rPr>
          <t xml:space="preserve">
FY07 1 time
</t>
        </r>
      </text>
    </comment>
    <comment ref="W63" authorId="2" shapeId="0" xr:uid="{A75275E0-FC1E-4335-905E-3089EF970592}">
      <text>
        <r>
          <rPr>
            <b/>
            <sz val="9"/>
            <color indexed="81"/>
            <rFont val="Tahoma"/>
            <family val="2"/>
          </rPr>
          <t xml:space="preserve">Soppa: 
New act 213997 was set up by Stacey on 7-9-12 to cover these costs in FY13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64" authorId="2" shapeId="0" xr:uid="{3974EB06-0F7F-44E1-9F3E-92EABA97A11F}">
      <text>
        <r>
          <rPr>
            <b/>
            <sz val="9"/>
            <color indexed="81"/>
            <rFont val="Tahoma"/>
            <family val="2"/>
          </rPr>
          <t>Soppa:</t>
        </r>
        <r>
          <rPr>
            <sz val="9"/>
            <color indexed="81"/>
            <rFont val="Tahoma"/>
            <family val="2"/>
          </rPr>
          <t xml:space="preserve"> New act 213997 was set up by Stacey on 7-9-12 to cover these costs in FY13</t>
        </r>
      </text>
    </comment>
    <comment ref="M65" authorId="0" shapeId="0" xr:uid="{9F3A4636-E55B-43EF-8054-B92D45FD63D9}">
      <text>
        <r>
          <rPr>
            <b/>
            <sz val="8"/>
            <color indexed="81"/>
            <rFont val="Tahoma"/>
            <family val="2"/>
          </rPr>
          <t>WSU:</t>
        </r>
        <r>
          <rPr>
            <sz val="8"/>
            <color indexed="81"/>
            <rFont val="Tahoma"/>
            <family val="2"/>
          </rPr>
          <t xml:space="preserve">
FY07 1 time
</t>
        </r>
      </text>
    </comment>
    <comment ref="U78" authorId="2" shapeId="0" xr:uid="{42A8B9A8-A0B8-4922-A72A-2E90673D2506}">
      <text>
        <r>
          <rPr>
            <b/>
            <sz val="9"/>
            <color indexed="81"/>
            <rFont val="Tahoma"/>
            <family val="2"/>
          </rPr>
          <t>Soppa:</t>
        </r>
        <r>
          <rPr>
            <sz val="9"/>
            <color indexed="81"/>
            <rFont val="Tahoma"/>
            <family val="2"/>
          </rPr>
          <t xml:space="preserve">
updated 9/19/2012 </t>
        </r>
      </text>
    </comment>
    <comment ref="W78" authorId="2" shapeId="0" xr:uid="{76E65AEF-33BB-4315-B3B2-04349052DD21}">
      <text>
        <r>
          <rPr>
            <b/>
            <sz val="9"/>
            <color indexed="81"/>
            <rFont val="Tahoma"/>
            <family val="2"/>
          </rPr>
          <t xml:space="preserve">Soppa:updated 1/22/14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<sst xmlns="http://schemas.openxmlformats.org/spreadsheetml/2006/main" count="281" uniqueCount="165">
  <si>
    <t>FY01</t>
  </si>
  <si>
    <t>FY02</t>
  </si>
  <si>
    <t>FY03</t>
  </si>
  <si>
    <t>FY04</t>
  </si>
  <si>
    <t>FY05</t>
  </si>
  <si>
    <t>FY06</t>
  </si>
  <si>
    <t>FY07</t>
  </si>
  <si>
    <t>FY06/FY07</t>
  </si>
  <si>
    <t>FY07 1-time</t>
  </si>
  <si>
    <t>FY08</t>
  </si>
  <si>
    <t>FY09</t>
  </si>
  <si>
    <t>FY10</t>
  </si>
  <si>
    <t>FY11</t>
  </si>
  <si>
    <t>FY12</t>
  </si>
  <si>
    <t xml:space="preserve">FY12 </t>
  </si>
  <si>
    <t>FY13</t>
  </si>
  <si>
    <t>Increase/Decrease</t>
  </si>
  <si>
    <t>FY14</t>
  </si>
  <si>
    <t>FY15</t>
  </si>
  <si>
    <t>Fy16</t>
  </si>
  <si>
    <t>Fy17</t>
  </si>
  <si>
    <t>FY19</t>
  </si>
  <si>
    <t>Fy20</t>
  </si>
  <si>
    <t xml:space="preserve">                                                                       </t>
  </si>
  <si>
    <t xml:space="preserve"> </t>
  </si>
  <si>
    <t xml:space="preserve">                          </t>
  </si>
  <si>
    <t>Budget</t>
  </si>
  <si>
    <t>1-Time</t>
  </si>
  <si>
    <t>Approved in FY07</t>
  </si>
  <si>
    <t xml:space="preserve">1-Time </t>
  </si>
  <si>
    <t>Approved Budget
Entered
6/29/11</t>
  </si>
  <si>
    <t xml:space="preserve">Approved </t>
  </si>
  <si>
    <t>From 
FY12 Budget</t>
  </si>
  <si>
    <t>Approved</t>
  </si>
  <si>
    <t>From FY13 
Budget</t>
  </si>
  <si>
    <t>From FY14 
Budget</t>
  </si>
  <si>
    <t>Proposed</t>
  </si>
  <si>
    <t>From FY15
Budget</t>
  </si>
  <si>
    <t>From FY16
Budget</t>
  </si>
  <si>
    <t>FY18 Budget</t>
  </si>
  <si>
    <t>From FY17
Budget</t>
  </si>
  <si>
    <t>Decrease</t>
  </si>
  <si>
    <t>FY19 Budget</t>
  </si>
  <si>
    <t>FY20 Budget</t>
  </si>
  <si>
    <t>FY21 Proposed</t>
  </si>
  <si>
    <t>Increase requested</t>
  </si>
  <si>
    <t>FY21 Budget</t>
  </si>
  <si>
    <t>FY22 Proposed</t>
  </si>
  <si>
    <t>Change</t>
  </si>
  <si>
    <t>FY22 Budget</t>
  </si>
  <si>
    <t>FY23 Proposed</t>
  </si>
  <si>
    <t>Approved Adjusted FY23 Budget</t>
  </si>
  <si>
    <t>FY24 Proposed</t>
  </si>
  <si>
    <t>Requested (+) funds</t>
  </si>
  <si>
    <t>Adjusted FY24 Budget</t>
  </si>
  <si>
    <t>%of total</t>
  </si>
  <si>
    <t>Culture &amp; Information</t>
  </si>
  <si>
    <t xml:space="preserve">   </t>
  </si>
  <si>
    <t>x</t>
  </si>
  <si>
    <t>Homecoming</t>
  </si>
  <si>
    <t>Warrior Ent Network</t>
  </si>
  <si>
    <t>Student Senate</t>
  </si>
  <si>
    <t>5000 not used approx?</t>
  </si>
  <si>
    <t>Winonan</t>
  </si>
  <si>
    <t>1500+1000</t>
  </si>
  <si>
    <t>ASO</t>
  </si>
  <si>
    <t>varies - a few years not used, one year all used</t>
  </si>
  <si>
    <t>Greek Council</t>
  </si>
  <si>
    <t>International Club</t>
  </si>
  <si>
    <t>Cultural Diversity Speaker/Event Series</t>
  </si>
  <si>
    <t>2019 all used, years after 10-19K has gone to reserve</t>
  </si>
  <si>
    <t>KQAL</t>
  </si>
  <si>
    <t>Family Weekend</t>
  </si>
  <si>
    <t xml:space="preserve">Welcome Week Events </t>
  </si>
  <si>
    <t>Collegiate Readership Program</t>
  </si>
  <si>
    <t>Total Culture &amp; Information</t>
  </si>
  <si>
    <t>Fine Arts</t>
  </si>
  <si>
    <t>Drama Activities</t>
  </si>
  <si>
    <t>Wenonah Players</t>
  </si>
  <si>
    <t>Music Activities</t>
  </si>
  <si>
    <t>Satori</t>
  </si>
  <si>
    <t>Lyceum Series</t>
  </si>
  <si>
    <t>Art Gallery</t>
  </si>
  <si>
    <t>Frozen River</t>
  </si>
  <si>
    <t>Total Fine Arts</t>
  </si>
  <si>
    <t>Sports Clubs</t>
  </si>
  <si>
    <t>Sports Council</t>
  </si>
  <si>
    <t>Post Season</t>
  </si>
  <si>
    <t>w sports c now</t>
  </si>
  <si>
    <t>Warrior Dance Team</t>
  </si>
  <si>
    <t>Men's Frisbee</t>
  </si>
  <si>
    <t>Men's Rugby</t>
  </si>
  <si>
    <t>Women's Rugby</t>
  </si>
  <si>
    <t>Men's Volleyball</t>
  </si>
  <si>
    <t>Cheer Team</t>
  </si>
  <si>
    <t>Bad MonazWomen's Frisbee</t>
  </si>
  <si>
    <t>Women's Bowling</t>
  </si>
  <si>
    <t>Men's Bowling</t>
  </si>
  <si>
    <t>Mens LaCrosse Club</t>
  </si>
  <si>
    <t>Paintball</t>
  </si>
  <si>
    <t>Cricket</t>
  </si>
  <si>
    <t>Rowing Club</t>
  </si>
  <si>
    <t>Wrestling Club</t>
  </si>
  <si>
    <t>WSU Women's LaCrosse</t>
  </si>
  <si>
    <t>Women's Volleyball</t>
  </si>
  <si>
    <t>Hockey Club</t>
  </si>
  <si>
    <t>WSU Warrior Tennis</t>
  </si>
  <si>
    <t>Fishing Club</t>
  </si>
  <si>
    <t>Club Baseball</t>
  </si>
  <si>
    <t>Total Sports Clubs</t>
  </si>
  <si>
    <t>General Groups</t>
  </si>
  <si>
    <t>Outdoor Recreation</t>
  </si>
  <si>
    <t>334xxx</t>
  </si>
  <si>
    <t>New Deans Advisory Boards</t>
  </si>
  <si>
    <t>Warrior Cupboard</t>
  </si>
  <si>
    <t>Green Fee</t>
  </si>
  <si>
    <t>spending more than base budget? CF would carry them a few years</t>
  </si>
  <si>
    <t>Activity Fund Administration</t>
  </si>
  <si>
    <t>Leadership Development</t>
  </si>
  <si>
    <t>Legal Advocate</t>
  </si>
  <si>
    <t>Royalties &amp; Copyrights</t>
  </si>
  <si>
    <t>Rochester Center</t>
  </si>
  <si>
    <t>not spending all - amount varies of not being used</t>
  </si>
  <si>
    <t>Transit Van - East Lake</t>
  </si>
  <si>
    <t xml:space="preserve">Safe Ride Bus </t>
  </si>
  <si>
    <t>Child Care Center</t>
  </si>
  <si>
    <t>Bike rental program</t>
  </si>
  <si>
    <t>Funding Request Account</t>
  </si>
  <si>
    <t>not spending all - 50% rolls forward and 50% goes to reserve</t>
  </si>
  <si>
    <t>Intramurals</t>
  </si>
  <si>
    <t>CF would carry them a few years</t>
  </si>
  <si>
    <t>Total General Groups</t>
  </si>
  <si>
    <t>Other NEW REQUEST Groups</t>
  </si>
  <si>
    <t>Total of Other New Request</t>
  </si>
  <si>
    <t>GRAND TOTAL</t>
  </si>
  <si>
    <t>Revenue Budget</t>
  </si>
  <si>
    <t>Expense Budget</t>
  </si>
  <si>
    <t>Budget GAP</t>
  </si>
  <si>
    <t>ACTUAL Reserve</t>
  </si>
  <si>
    <t>Reserve</t>
  </si>
  <si>
    <t>Budget % Increase</t>
  </si>
  <si>
    <t>Fee % Increase</t>
  </si>
  <si>
    <t>Reserve %</t>
  </si>
  <si>
    <t>%</t>
  </si>
  <si>
    <t>Per Credit Rate</t>
  </si>
  <si>
    <t>Per Semester Rate</t>
  </si>
  <si>
    <t>Per Year Rate</t>
  </si>
  <si>
    <t>Reserve target is 25% to 50% of Operating revenues.</t>
  </si>
  <si>
    <t>Note: Every 1% increased = $9,000 approx</t>
  </si>
  <si>
    <t>Reserve target in dollars is $250,000-$500,000</t>
  </si>
  <si>
    <t>Increase due to student help</t>
  </si>
  <si>
    <t>FY17 STATE UNIVERSITIES Student Life amount</t>
  </si>
  <si>
    <t>Increase being requested</t>
  </si>
  <si>
    <t>Bemidji State University*</t>
  </si>
  <si>
    <t xml:space="preserve">FY19  &amp; FY20 extra changes </t>
  </si>
  <si>
    <t>Metropolitan State University**</t>
  </si>
  <si>
    <t>FY19 notes</t>
  </si>
  <si>
    <t>Minnesota State University, Mankato (*)</t>
  </si>
  <si>
    <t>Minnesota State University Moorhead</t>
  </si>
  <si>
    <t>Southwest Minnesota State University</t>
  </si>
  <si>
    <t>St. Cloud State University</t>
  </si>
  <si>
    <t>Winona State University*</t>
  </si>
  <si>
    <t xml:space="preserve">Minnesota State Maximum is $112.50 per term </t>
  </si>
  <si>
    <t>NEW CLUB FY19</t>
  </si>
  <si>
    <t>no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</si>
</sst>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trike/>
      <sz val="10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39">
    <xf numFmtId="0" fontId="0" fillId="0" borderId="0" xfId="0"/>
    <xf numFmtId="3" fontId="3" fillId="0" borderId="0" xfId="3" applyNumberFormat="1" applyFont="1"/>
    <xf numFmtId="1" fontId="3" fillId="0" borderId="0" xfId="3" applyNumberFormat="1" applyFont="1" applyAlignment="1">
      <alignment vertical="center"/>
    </xf>
    <xf numFmtId="3" fontId="3" fillId="0" borderId="0" xfId="3" applyNumberFormat="1" applyFont="1" applyAlignment="1">
      <alignment vertical="center" wrapText="1"/>
    </xf>
    <xf numFmtId="6" fontId="3" fillId="0" borderId="0" xfId="3" applyNumberFormat="1" applyFont="1" applyAlignment="1">
      <alignment horizontal="right"/>
    </xf>
    <xf numFmtId="6" fontId="4" fillId="0" borderId="0" xfId="3" applyNumberFormat="1" applyFont="1" applyAlignment="1">
      <alignment horizontal="center" vertical="center"/>
    </xf>
    <xf numFmtId="6" fontId="4" fillId="0" borderId="1" xfId="3" applyNumberFormat="1" applyFont="1" applyBorder="1" applyAlignment="1">
      <alignment horizontal="center" vertical="center"/>
    </xf>
    <xf numFmtId="6" fontId="4" fillId="0" borderId="2" xfId="3" applyNumberFormat="1" applyFont="1" applyBorder="1" applyAlignment="1">
      <alignment horizontal="center" vertical="center"/>
    </xf>
    <xf numFmtId="9" fontId="4" fillId="0" borderId="1" xfId="3" applyNumberFormat="1" applyFont="1" applyBorder="1" applyAlignment="1">
      <alignment horizontal="center" vertical="center"/>
    </xf>
    <xf numFmtId="6" fontId="4" fillId="0" borderId="1" xfId="3" applyNumberFormat="1" applyFont="1" applyBorder="1" applyAlignment="1">
      <alignment horizontal="left" vertical="center"/>
    </xf>
    <xf numFmtId="6" fontId="4" fillId="0" borderId="0" xfId="3" applyNumberFormat="1" applyFont="1" applyAlignment="1">
      <alignment horizontal="left" vertical="center"/>
    </xf>
    <xf numFmtId="6" fontId="3" fillId="0" borderId="3" xfId="3" applyNumberFormat="1" applyFont="1" applyBorder="1" applyAlignment="1">
      <alignment horizontal="right"/>
    </xf>
    <xf numFmtId="6" fontId="4" fillId="0" borderId="3" xfId="3" applyNumberFormat="1" applyFont="1" applyBorder="1" applyAlignment="1">
      <alignment horizontal="center" vertical="center"/>
    </xf>
    <xf numFmtId="6" fontId="4" fillId="2" borderId="3" xfId="3" applyNumberFormat="1" applyFont="1" applyFill="1" applyBorder="1" applyAlignment="1">
      <alignment horizontal="center" vertical="center"/>
    </xf>
    <xf numFmtId="6" fontId="4" fillId="2" borderId="1" xfId="3" applyNumberFormat="1" applyFont="1" applyFill="1" applyBorder="1" applyAlignment="1">
      <alignment horizontal="center" vertical="center" wrapText="1"/>
    </xf>
    <xf numFmtId="6" fontId="4" fillId="0" borderId="1" xfId="3" applyNumberFormat="1" applyFont="1" applyBorder="1" applyAlignment="1">
      <alignment horizontal="center" vertical="center" wrapText="1"/>
    </xf>
    <xf numFmtId="6" fontId="4" fillId="0" borderId="2" xfId="3" applyNumberFormat="1" applyFont="1" applyBorder="1" applyAlignment="1">
      <alignment horizontal="center" vertical="center" wrapText="1"/>
    </xf>
    <xf numFmtId="6" fontId="4" fillId="3" borderId="1" xfId="3" applyNumberFormat="1" applyFont="1" applyFill="1" applyBorder="1" applyAlignment="1">
      <alignment horizontal="center" vertical="center" wrapText="1"/>
    </xf>
    <xf numFmtId="6" fontId="4" fillId="4" borderId="1" xfId="3" applyNumberFormat="1" applyFont="1" applyFill="1" applyBorder="1" applyAlignment="1">
      <alignment horizontal="center" vertical="center" wrapText="1"/>
    </xf>
    <xf numFmtId="3" fontId="4" fillId="5" borderId="1" xfId="3" applyNumberFormat="1" applyFont="1" applyFill="1" applyBorder="1"/>
    <xf numFmtId="3" fontId="5" fillId="0" borderId="0" xfId="3" applyNumberFormat="1" applyFont="1" applyAlignment="1">
      <alignment vertical="center" wrapText="1"/>
    </xf>
    <xf numFmtId="6" fontId="3" fillId="2" borderId="0" xfId="3" applyNumberFormat="1" applyFont="1" applyFill="1" applyAlignment="1">
      <alignment horizontal="right"/>
    </xf>
    <xf numFmtId="0" fontId="2" fillId="0" borderId="4" xfId="3" applyBorder="1"/>
    <xf numFmtId="0" fontId="2" fillId="0" borderId="0" xfId="3"/>
    <xf numFmtId="3" fontId="3" fillId="3" borderId="0" xfId="3" applyNumberFormat="1" applyFont="1" applyFill="1"/>
    <xf numFmtId="3" fontId="3" fillId="4" borderId="0" xfId="3" applyNumberFormat="1" applyFont="1" applyFill="1"/>
    <xf numFmtId="3" fontId="3" fillId="5" borderId="1" xfId="3" applyNumberFormat="1" applyFont="1" applyFill="1" applyBorder="1"/>
    <xf numFmtId="3" fontId="3" fillId="0" borderId="1" xfId="3" applyNumberFormat="1" applyFont="1" applyBorder="1" applyAlignment="1">
      <alignment vertical="center" wrapText="1"/>
    </xf>
    <xf numFmtId="6" fontId="3" fillId="0" borderId="1" xfId="3" applyNumberFormat="1" applyFont="1" applyBorder="1"/>
    <xf numFmtId="6" fontId="3" fillId="0" borderId="2" xfId="3" applyNumberFormat="1" applyFont="1" applyBorder="1"/>
    <xf numFmtId="6" fontId="3" fillId="0" borderId="5" xfId="3" applyNumberFormat="1" applyFont="1" applyBorder="1"/>
    <xf numFmtId="6" fontId="3" fillId="0" borderId="6" xfId="3" applyNumberFormat="1" applyFont="1" applyBorder="1" applyAlignment="1">
      <alignment horizontal="right"/>
    </xf>
    <xf numFmtId="6" fontId="3" fillId="0" borderId="1" xfId="3" applyNumberFormat="1" applyFont="1" applyBorder="1" applyAlignment="1">
      <alignment horizontal="right"/>
    </xf>
    <xf numFmtId="6" fontId="3" fillId="0" borderId="7" xfId="3" applyNumberFormat="1" applyFont="1" applyBorder="1" applyAlignment="1">
      <alignment horizontal="right"/>
    </xf>
    <xf numFmtId="3" fontId="3" fillId="0" borderId="1" xfId="3" applyNumberFormat="1" applyFont="1" applyBorder="1"/>
    <xf numFmtId="3" fontId="3" fillId="3" borderId="1" xfId="3" applyNumberFormat="1" applyFont="1" applyFill="1" applyBorder="1"/>
    <xf numFmtId="3" fontId="3" fillId="4" borderId="1" xfId="3" applyNumberFormat="1" applyFont="1" applyFill="1" applyBorder="1"/>
    <xf numFmtId="10" fontId="3" fillId="5" borderId="1" xfId="2" applyNumberFormat="1" applyFont="1" applyFill="1" applyBorder="1"/>
    <xf numFmtId="1" fontId="3" fillId="6" borderId="0" xfId="3" applyNumberFormat="1" applyFont="1" applyFill="1" applyAlignment="1">
      <alignment vertical="center"/>
    </xf>
    <xf numFmtId="3" fontId="3" fillId="6" borderId="1" xfId="3" applyNumberFormat="1" applyFont="1" applyFill="1" applyBorder="1" applyAlignment="1">
      <alignment vertical="center" wrapText="1"/>
    </xf>
    <xf numFmtId="6" fontId="3" fillId="6" borderId="1" xfId="3" applyNumberFormat="1" applyFont="1" applyFill="1" applyBorder="1"/>
    <xf numFmtId="6" fontId="3" fillId="6" borderId="2" xfId="3" applyNumberFormat="1" applyFont="1" applyFill="1" applyBorder="1"/>
    <xf numFmtId="6" fontId="3" fillId="6" borderId="7" xfId="3" applyNumberFormat="1" applyFont="1" applyFill="1" applyBorder="1"/>
    <xf numFmtId="6" fontId="3" fillId="6" borderId="6" xfId="3" applyNumberFormat="1" applyFont="1" applyFill="1" applyBorder="1" applyAlignment="1">
      <alignment horizontal="right"/>
    </xf>
    <xf numFmtId="6" fontId="3" fillId="6" borderId="1" xfId="3" applyNumberFormat="1" applyFont="1" applyFill="1" applyBorder="1" applyAlignment="1">
      <alignment horizontal="right"/>
    </xf>
    <xf numFmtId="6" fontId="3" fillId="6" borderId="7" xfId="3" applyNumberFormat="1" applyFont="1" applyFill="1" applyBorder="1" applyAlignment="1">
      <alignment horizontal="right"/>
    </xf>
    <xf numFmtId="3" fontId="3" fillId="6" borderId="1" xfId="3" applyNumberFormat="1" applyFont="1" applyFill="1" applyBorder="1"/>
    <xf numFmtId="1" fontId="6" fillId="0" borderId="0" xfId="3" applyNumberFormat="1" applyFont="1" applyAlignment="1">
      <alignment vertical="center"/>
    </xf>
    <xf numFmtId="3" fontId="6" fillId="0" borderId="1" xfId="3" applyNumberFormat="1" applyFont="1" applyBorder="1" applyAlignment="1">
      <alignment vertical="center" wrapText="1"/>
    </xf>
    <xf numFmtId="6" fontId="6" fillId="0" borderId="1" xfId="3" applyNumberFormat="1" applyFont="1" applyBorder="1"/>
    <xf numFmtId="6" fontId="3" fillId="0" borderId="8" xfId="3" applyNumberFormat="1" applyFont="1" applyBorder="1"/>
    <xf numFmtId="6" fontId="3" fillId="0" borderId="0" xfId="3" applyNumberFormat="1" applyFont="1"/>
    <xf numFmtId="6" fontId="3" fillId="0" borderId="9" xfId="3" applyNumberFormat="1" applyFont="1" applyBorder="1" applyAlignment="1">
      <alignment horizontal="right"/>
    </xf>
    <xf numFmtId="3" fontId="3" fillId="0" borderId="10" xfId="3" applyNumberFormat="1" applyFont="1" applyBorder="1" applyAlignment="1">
      <alignment vertical="center" wrapText="1"/>
    </xf>
    <xf numFmtId="6" fontId="3" fillId="0" borderId="10" xfId="3" applyNumberFormat="1" applyFont="1" applyBorder="1"/>
    <xf numFmtId="1" fontId="7" fillId="0" borderId="0" xfId="3" applyNumberFormat="1" applyFont="1" applyAlignment="1">
      <alignment vertical="center"/>
    </xf>
    <xf numFmtId="3" fontId="7" fillId="0" borderId="10" xfId="3" applyNumberFormat="1" applyFont="1" applyBorder="1" applyAlignment="1">
      <alignment vertical="center" wrapText="1"/>
    </xf>
    <xf numFmtId="6" fontId="7" fillId="0" borderId="10" xfId="3" applyNumberFormat="1" applyFont="1" applyBorder="1"/>
    <xf numFmtId="3" fontId="4" fillId="0" borderId="11" xfId="3" applyNumberFormat="1" applyFont="1" applyBorder="1" applyAlignment="1">
      <alignment horizontal="right"/>
    </xf>
    <xf numFmtId="6" fontId="4" fillId="0" borderId="1" xfId="3" applyNumberFormat="1" applyFont="1" applyBorder="1" applyAlignment="1">
      <alignment horizontal="right"/>
    </xf>
    <xf numFmtId="10" fontId="3" fillId="0" borderId="0" xfId="2" applyNumberFormat="1" applyFont="1"/>
    <xf numFmtId="3" fontId="4" fillId="0" borderId="0" xfId="3" applyNumberFormat="1" applyFont="1"/>
    <xf numFmtId="1" fontId="4" fillId="0" borderId="0" xfId="3" applyNumberFormat="1" applyFont="1" applyAlignment="1">
      <alignment vertical="center"/>
    </xf>
    <xf numFmtId="3" fontId="4" fillId="0" borderId="1" xfId="3" applyNumberFormat="1" applyFont="1" applyBorder="1" applyAlignment="1">
      <alignment vertical="center" wrapText="1"/>
    </xf>
    <xf numFmtId="6" fontId="4" fillId="0" borderId="6" xfId="3" applyNumberFormat="1" applyFont="1" applyBorder="1" applyAlignment="1">
      <alignment horizontal="right"/>
    </xf>
    <xf numFmtId="3" fontId="4" fillId="0" borderId="1" xfId="3" applyNumberFormat="1" applyFont="1" applyBorder="1"/>
    <xf numFmtId="164" fontId="4" fillId="0" borderId="1" xfId="1" applyNumberFormat="1" applyFont="1" applyFill="1" applyBorder="1"/>
    <xf numFmtId="164" fontId="4" fillId="3" borderId="1" xfId="1" applyNumberFormat="1" applyFont="1" applyFill="1" applyBorder="1"/>
    <xf numFmtId="3" fontId="4" fillId="3" borderId="1" xfId="3" applyNumberFormat="1" applyFont="1" applyFill="1" applyBorder="1"/>
    <xf numFmtId="164" fontId="4" fillId="4" borderId="1" xfId="1" applyNumberFormat="1" applyFont="1" applyFill="1" applyBorder="1"/>
    <xf numFmtId="10" fontId="4" fillId="5" borderId="1" xfId="2" applyNumberFormat="1" applyFont="1" applyFill="1" applyBorder="1"/>
    <xf numFmtId="3" fontId="3" fillId="0" borderId="12" xfId="3" applyNumberFormat="1" applyFont="1" applyBorder="1" applyAlignment="1">
      <alignment vertical="center" wrapText="1"/>
    </xf>
    <xf numFmtId="0" fontId="2" fillId="0" borderId="8" xfId="3" applyBorder="1"/>
    <xf numFmtId="0" fontId="2" fillId="0" borderId="12" xfId="3" applyBorder="1" applyAlignment="1">
      <alignment horizontal="right"/>
    </xf>
    <xf numFmtId="3" fontId="5" fillId="0" borderId="13" xfId="3" applyNumberFormat="1" applyFont="1" applyBorder="1" applyAlignment="1">
      <alignment vertical="center" wrapText="1"/>
    </xf>
    <xf numFmtId="0" fontId="2" fillId="0" borderId="1" xfId="3" applyBorder="1"/>
    <xf numFmtId="0" fontId="2" fillId="0" borderId="2" xfId="3" applyBorder="1"/>
    <xf numFmtId="0" fontId="2" fillId="0" borderId="13" xfId="3" applyBorder="1" applyAlignment="1">
      <alignment horizontal="right"/>
    </xf>
    <xf numFmtId="6" fontId="3" fillId="0" borderId="13" xfId="3" applyNumberFormat="1" applyFont="1" applyBorder="1" applyAlignment="1">
      <alignment horizontal="right"/>
    </xf>
    <xf numFmtId="6" fontId="3" fillId="0" borderId="4" xfId="3" applyNumberFormat="1" applyFont="1" applyBorder="1" applyAlignment="1">
      <alignment horizontal="right"/>
    </xf>
    <xf numFmtId="6" fontId="3" fillId="0" borderId="2" xfId="3" applyNumberFormat="1" applyFont="1" applyBorder="1" applyAlignment="1">
      <alignment horizontal="right"/>
    </xf>
    <xf numFmtId="6" fontId="3" fillId="6" borderId="2" xfId="3" applyNumberFormat="1" applyFont="1" applyFill="1" applyBorder="1" applyAlignment="1">
      <alignment horizontal="right"/>
    </xf>
    <xf numFmtId="3" fontId="3" fillId="6" borderId="0" xfId="3" applyNumberFormat="1" applyFont="1" applyFill="1"/>
    <xf numFmtId="10" fontId="3" fillId="6" borderId="1" xfId="2" applyNumberFormat="1" applyFont="1" applyFill="1" applyBorder="1"/>
    <xf numFmtId="6" fontId="3" fillId="0" borderId="12" xfId="3" applyNumberFormat="1" applyFont="1" applyBorder="1" applyAlignment="1">
      <alignment horizontal="right"/>
    </xf>
    <xf numFmtId="3" fontId="4" fillId="0" borderId="2" xfId="3" applyNumberFormat="1" applyFont="1" applyBorder="1" applyAlignment="1">
      <alignment vertical="center" wrapText="1"/>
    </xf>
    <xf numFmtId="6" fontId="4" fillId="0" borderId="7" xfId="3" applyNumberFormat="1" applyFont="1" applyBorder="1"/>
    <xf numFmtId="6" fontId="4" fillId="0" borderId="2" xfId="3" applyNumberFormat="1" applyFont="1" applyBorder="1" applyAlignment="1">
      <alignment horizontal="right"/>
    </xf>
    <xf numFmtId="3" fontId="4" fillId="4" borderId="1" xfId="3" applyNumberFormat="1" applyFont="1" applyFill="1" applyBorder="1"/>
    <xf numFmtId="0" fontId="2" fillId="0" borderId="0" xfId="3" applyAlignment="1">
      <alignment horizontal="right"/>
    </xf>
    <xf numFmtId="3" fontId="3" fillId="0" borderId="10" xfId="3" applyNumberFormat="1" applyFont="1" applyBorder="1"/>
    <xf numFmtId="3" fontId="3" fillId="0" borderId="14" xfId="3" applyNumberFormat="1" applyFont="1" applyBorder="1"/>
    <xf numFmtId="6" fontId="4" fillId="0" borderId="1" xfId="3" applyNumberFormat="1" applyFont="1" applyBorder="1"/>
    <xf numFmtId="3" fontId="7" fillId="0" borderId="1" xfId="3" applyNumberFormat="1" applyFont="1" applyBorder="1" applyAlignment="1">
      <alignment vertical="center" wrapText="1"/>
    </xf>
    <xf numFmtId="6" fontId="7" fillId="0" borderId="1" xfId="3" applyNumberFormat="1" applyFont="1" applyBorder="1"/>
    <xf numFmtId="6" fontId="7" fillId="0" borderId="2" xfId="3" applyNumberFormat="1" applyFont="1" applyBorder="1"/>
    <xf numFmtId="6" fontId="3" fillId="0" borderId="5" xfId="3" applyNumberFormat="1" applyFont="1" applyBorder="1" applyAlignment="1">
      <alignment horizontal="right"/>
    </xf>
    <xf numFmtId="3" fontId="3" fillId="0" borderId="15" xfId="3" applyNumberFormat="1" applyFont="1" applyBorder="1"/>
    <xf numFmtId="3" fontId="3" fillId="0" borderId="8" xfId="3" applyNumberFormat="1" applyFont="1" applyBorder="1"/>
    <xf numFmtId="0" fontId="2" fillId="0" borderId="5" xfId="3" applyBorder="1"/>
    <xf numFmtId="0" fontId="2" fillId="6" borderId="1" xfId="3" applyFill="1" applyBorder="1"/>
    <xf numFmtId="1" fontId="3" fillId="7" borderId="0" xfId="3" applyNumberFormat="1" applyFont="1" applyFill="1" applyAlignment="1">
      <alignment horizontal="right"/>
    </xf>
    <xf numFmtId="3" fontId="3" fillId="7" borderId="4" xfId="3" applyNumberFormat="1" applyFont="1" applyFill="1" applyBorder="1" applyAlignment="1">
      <alignment vertical="center" wrapText="1"/>
    </xf>
    <xf numFmtId="6" fontId="3" fillId="0" borderId="4" xfId="3" applyNumberFormat="1" applyFont="1" applyBorder="1"/>
    <xf numFmtId="6" fontId="3" fillId="0" borderId="16" xfId="3" applyNumberFormat="1" applyFont="1" applyBorder="1" applyAlignment="1">
      <alignment horizontal="right"/>
    </xf>
    <xf numFmtId="3" fontId="3" fillId="7" borderId="1" xfId="3" applyNumberFormat="1" applyFont="1" applyFill="1" applyBorder="1"/>
    <xf numFmtId="1" fontId="3" fillId="6" borderId="0" xfId="3" applyNumberFormat="1" applyFont="1" applyFill="1" applyAlignment="1">
      <alignment horizontal="right" vertical="center"/>
    </xf>
    <xf numFmtId="3" fontId="3" fillId="6" borderId="4" xfId="3" applyNumberFormat="1" applyFont="1" applyFill="1" applyBorder="1" applyAlignment="1">
      <alignment vertical="center" wrapText="1"/>
    </xf>
    <xf numFmtId="6" fontId="3" fillId="6" borderId="4" xfId="3" applyNumberFormat="1" applyFont="1" applyFill="1" applyBorder="1"/>
    <xf numFmtId="6" fontId="3" fillId="6" borderId="8" xfId="3" applyNumberFormat="1" applyFont="1" applyFill="1" applyBorder="1"/>
    <xf numFmtId="0" fontId="2" fillId="6" borderId="8" xfId="3" applyFill="1" applyBorder="1"/>
    <xf numFmtId="6" fontId="3" fillId="6" borderId="4" xfId="3" applyNumberFormat="1" applyFont="1" applyFill="1" applyBorder="1" applyAlignment="1">
      <alignment horizontal="right"/>
    </xf>
    <xf numFmtId="6" fontId="3" fillId="6" borderId="16" xfId="3" applyNumberFormat="1" applyFont="1" applyFill="1" applyBorder="1" applyAlignment="1">
      <alignment horizontal="right"/>
    </xf>
    <xf numFmtId="6" fontId="3" fillId="6" borderId="13" xfId="3" applyNumberFormat="1" applyFont="1" applyFill="1" applyBorder="1" applyAlignment="1">
      <alignment horizontal="right"/>
    </xf>
    <xf numFmtId="3" fontId="3" fillId="0" borderId="4" xfId="3" applyNumberFormat="1" applyFont="1" applyBorder="1" applyAlignment="1">
      <alignment vertical="center" wrapText="1"/>
    </xf>
    <xf numFmtId="0" fontId="2" fillId="0" borderId="4" xfId="3" applyBorder="1" applyAlignment="1">
      <alignment horizontal="right"/>
    </xf>
    <xf numFmtId="3" fontId="8" fillId="0" borderId="1" xfId="3" applyNumberFormat="1" applyFont="1" applyBorder="1"/>
    <xf numFmtId="8" fontId="3" fillId="0" borderId="1" xfId="3" applyNumberFormat="1" applyFont="1" applyBorder="1" applyAlignment="1">
      <alignment horizontal="right"/>
    </xf>
    <xf numFmtId="6" fontId="3" fillId="0" borderId="17" xfId="3" applyNumberFormat="1" applyFont="1" applyBorder="1" applyAlignment="1">
      <alignment horizontal="right"/>
    </xf>
    <xf numFmtId="6" fontId="3" fillId="0" borderId="14" xfId="3" applyNumberFormat="1" applyFont="1" applyBorder="1" applyAlignment="1">
      <alignment horizontal="right"/>
    </xf>
    <xf numFmtId="1" fontId="3" fillId="0" borderId="0" xfId="3" applyNumberFormat="1" applyFont="1" applyAlignment="1">
      <alignment vertical="center" wrapText="1"/>
    </xf>
    <xf numFmtId="6" fontId="3" fillId="2" borderId="10" xfId="3" applyNumberFormat="1" applyFont="1" applyFill="1" applyBorder="1"/>
    <xf numFmtId="6" fontId="3" fillId="2" borderId="5" xfId="3" applyNumberFormat="1" applyFont="1" applyFill="1" applyBorder="1"/>
    <xf numFmtId="6" fontId="3" fillId="0" borderId="10" xfId="3" applyNumberFormat="1" applyFont="1" applyBorder="1" applyAlignment="1">
      <alignment horizontal="right"/>
    </xf>
    <xf numFmtId="6" fontId="3" fillId="8" borderId="1" xfId="3" applyNumberFormat="1" applyFont="1" applyFill="1" applyBorder="1" applyAlignment="1">
      <alignment horizontal="right"/>
    </xf>
    <xf numFmtId="6" fontId="3" fillId="2" borderId="1" xfId="3" applyNumberFormat="1" applyFont="1" applyFill="1" applyBorder="1" applyAlignment="1">
      <alignment horizontal="right"/>
    </xf>
    <xf numFmtId="3" fontId="3" fillId="2" borderId="1" xfId="3" applyNumberFormat="1" applyFont="1" applyFill="1" applyBorder="1"/>
    <xf numFmtId="6" fontId="4" fillId="2" borderId="7" xfId="3" applyNumberFormat="1" applyFont="1" applyFill="1" applyBorder="1"/>
    <xf numFmtId="6" fontId="3" fillId="2" borderId="2" xfId="3" applyNumberFormat="1" applyFont="1" applyFill="1" applyBorder="1"/>
    <xf numFmtId="3" fontId="4" fillId="2" borderId="1" xfId="3" applyNumberFormat="1" applyFont="1" applyFill="1" applyBorder="1"/>
    <xf numFmtId="3" fontId="4" fillId="0" borderId="0" xfId="3" applyNumberFormat="1" applyFont="1" applyAlignment="1">
      <alignment vertical="center" wrapText="1"/>
    </xf>
    <xf numFmtId="6" fontId="4" fillId="0" borderId="0" xfId="3" applyNumberFormat="1" applyFont="1"/>
    <xf numFmtId="3" fontId="4" fillId="2" borderId="0" xfId="3" applyNumberFormat="1" applyFont="1" applyFill="1"/>
    <xf numFmtId="3" fontId="4" fillId="3" borderId="0" xfId="3" applyNumberFormat="1" applyFont="1" applyFill="1"/>
    <xf numFmtId="3" fontId="4" fillId="4" borderId="0" xfId="3" applyNumberFormat="1" applyFont="1" applyFill="1"/>
    <xf numFmtId="9" fontId="4" fillId="0" borderId="0" xfId="2" applyFont="1"/>
    <xf numFmtId="3" fontId="4" fillId="0" borderId="13" xfId="3" applyNumberFormat="1" applyFont="1" applyBorder="1"/>
    <xf numFmtId="6" fontId="3" fillId="0" borderId="7" xfId="3" applyNumberFormat="1" applyFont="1" applyBorder="1"/>
    <xf numFmtId="3" fontId="4" fillId="0" borderId="18" xfId="3" applyNumberFormat="1" applyFont="1" applyBorder="1" applyAlignment="1">
      <alignment vertical="center" wrapText="1"/>
    </xf>
    <xf numFmtId="6" fontId="4" fillId="0" borderId="18" xfId="3" applyNumberFormat="1" applyFont="1" applyBorder="1"/>
    <xf numFmtId="3" fontId="4" fillId="0" borderId="18" xfId="3" applyNumberFormat="1" applyFont="1" applyBorder="1"/>
    <xf numFmtId="6" fontId="3" fillId="0" borderId="18" xfId="3" applyNumberFormat="1" applyFont="1" applyBorder="1"/>
    <xf numFmtId="6" fontId="4" fillId="9" borderId="0" xfId="3" applyNumberFormat="1" applyFont="1" applyFill="1"/>
    <xf numFmtId="6" fontId="3" fillId="9" borderId="17" xfId="3" applyNumberFormat="1" applyFont="1" applyFill="1" applyBorder="1"/>
    <xf numFmtId="6" fontId="3" fillId="9" borderId="0" xfId="3" applyNumberFormat="1" applyFont="1" applyFill="1"/>
    <xf numFmtId="6" fontId="4" fillId="0" borderId="19" xfId="3" applyNumberFormat="1" applyFont="1" applyBorder="1"/>
    <xf numFmtId="6" fontId="4" fillId="2" borderId="19" xfId="3" applyNumberFormat="1" applyFont="1" applyFill="1" applyBorder="1"/>
    <xf numFmtId="6" fontId="4" fillId="2" borderId="20" xfId="3" applyNumberFormat="1" applyFont="1" applyFill="1" applyBorder="1"/>
    <xf numFmtId="6" fontId="4" fillId="2" borderId="21" xfId="3" applyNumberFormat="1" applyFont="1" applyFill="1" applyBorder="1"/>
    <xf numFmtId="6" fontId="4" fillId="2" borderId="22" xfId="3" applyNumberFormat="1" applyFont="1" applyFill="1" applyBorder="1"/>
    <xf numFmtId="6" fontId="4" fillId="0" borderId="23" xfId="3" applyNumberFormat="1" applyFont="1" applyBorder="1"/>
    <xf numFmtId="6" fontId="4" fillId="0" borderId="21" xfId="3" applyNumberFormat="1" applyFont="1" applyBorder="1"/>
    <xf numFmtId="6" fontId="4" fillId="3" borderId="21" xfId="3" applyNumberFormat="1" applyFont="1" applyFill="1" applyBorder="1"/>
    <xf numFmtId="6" fontId="4" fillId="4" borderId="21" xfId="3" applyNumberFormat="1" applyFont="1" applyFill="1" applyBorder="1"/>
    <xf numFmtId="3" fontId="4" fillId="10" borderId="0" xfId="3" applyNumberFormat="1" applyFont="1" applyFill="1" applyAlignment="1">
      <alignment horizontal="right" wrapText="1"/>
    </xf>
    <xf numFmtId="3" fontId="4" fillId="10" borderId="0" xfId="3" applyNumberFormat="1" applyFont="1" applyFill="1" applyAlignment="1">
      <alignment horizontal="right"/>
    </xf>
    <xf numFmtId="6" fontId="4" fillId="10" borderId="0" xfId="3" applyNumberFormat="1" applyFont="1" applyFill="1"/>
    <xf numFmtId="6" fontId="3" fillId="10" borderId="0" xfId="3" applyNumberFormat="1" applyFont="1" applyFill="1"/>
    <xf numFmtId="6" fontId="4" fillId="10" borderId="13" xfId="3" applyNumberFormat="1" applyFont="1" applyFill="1" applyBorder="1"/>
    <xf numFmtId="6" fontId="3" fillId="10" borderId="13" xfId="3" applyNumberFormat="1" applyFont="1" applyFill="1" applyBorder="1"/>
    <xf numFmtId="6" fontId="3" fillId="0" borderId="14" xfId="3" applyNumberFormat="1" applyFont="1" applyBorder="1"/>
    <xf numFmtId="6" fontId="4" fillId="10" borderId="19" xfId="3" applyNumberFormat="1" applyFont="1" applyFill="1" applyBorder="1"/>
    <xf numFmtId="165" fontId="3" fillId="10" borderId="0" xfId="4" applyNumberFormat="1" applyFont="1" applyFill="1"/>
    <xf numFmtId="6" fontId="3" fillId="10" borderId="19" xfId="3" applyNumberFormat="1" applyFont="1" applyFill="1" applyBorder="1"/>
    <xf numFmtId="6" fontId="3" fillId="0" borderId="24" xfId="3" applyNumberFormat="1" applyFont="1" applyBorder="1"/>
    <xf numFmtId="6" fontId="3" fillId="0" borderId="19" xfId="3" applyNumberFormat="1" applyFont="1" applyBorder="1"/>
    <xf numFmtId="6" fontId="3" fillId="3" borderId="19" xfId="3" applyNumberFormat="1" applyFont="1" applyFill="1" applyBorder="1"/>
    <xf numFmtId="6" fontId="3" fillId="4" borderId="19" xfId="3" applyNumberFormat="1" applyFont="1" applyFill="1" applyBorder="1"/>
    <xf numFmtId="6" fontId="3" fillId="3" borderId="0" xfId="3" applyNumberFormat="1" applyFont="1" applyFill="1"/>
    <xf numFmtId="6" fontId="3" fillId="4" borderId="0" xfId="3" applyNumberFormat="1" applyFont="1" applyFill="1"/>
    <xf numFmtId="10" fontId="4" fillId="0" borderId="0" xfId="4" applyNumberFormat="1" applyFont="1" applyAlignment="1">
      <alignment horizontal="center"/>
    </xf>
    <xf numFmtId="10" fontId="4" fillId="0" borderId="0" xfId="4" applyNumberFormat="1" applyFont="1"/>
    <xf numFmtId="10" fontId="4" fillId="0" borderId="0" xfId="4" applyNumberFormat="1" applyFont="1" applyFill="1"/>
    <xf numFmtId="10" fontId="4" fillId="3" borderId="0" xfId="4" applyNumberFormat="1" applyFont="1" applyFill="1"/>
    <xf numFmtId="10" fontId="4" fillId="4" borderId="0" xfId="4" applyNumberFormat="1" applyFont="1" applyFill="1"/>
    <xf numFmtId="9" fontId="0" fillId="0" borderId="0" xfId="4" applyFont="1"/>
    <xf numFmtId="9" fontId="2" fillId="0" borderId="0" xfId="4"/>
    <xf numFmtId="9" fontId="0" fillId="0" borderId="0" xfId="4" applyFont="1" applyFill="1"/>
    <xf numFmtId="9" fontId="0" fillId="3" borderId="0" xfId="4" applyFont="1" applyFill="1"/>
    <xf numFmtId="9" fontId="0" fillId="4" borderId="0" xfId="4" applyFont="1" applyFill="1"/>
    <xf numFmtId="44" fontId="4" fillId="0" borderId="0" xfId="5" applyFont="1"/>
    <xf numFmtId="3" fontId="3" fillId="6" borderId="5" xfId="3" applyNumberFormat="1" applyFont="1" applyFill="1" applyBorder="1"/>
    <xf numFmtId="3" fontId="3" fillId="6" borderId="12" xfId="3" applyNumberFormat="1" applyFont="1" applyFill="1" applyBorder="1"/>
    <xf numFmtId="3" fontId="3" fillId="6" borderId="9" xfId="3" applyNumberFormat="1" applyFont="1" applyFill="1" applyBorder="1"/>
    <xf numFmtId="8" fontId="4" fillId="0" borderId="0" xfId="3" applyNumberFormat="1" applyFont="1"/>
    <xf numFmtId="9" fontId="4" fillId="0" borderId="0" xfId="4" applyFont="1"/>
    <xf numFmtId="165" fontId="4" fillId="0" borderId="0" xfId="4" applyNumberFormat="1" applyFont="1"/>
    <xf numFmtId="44" fontId="4" fillId="0" borderId="0" xfId="5" applyFont="1" applyFill="1"/>
    <xf numFmtId="44" fontId="4" fillId="6" borderId="0" xfId="5" applyFont="1" applyFill="1"/>
    <xf numFmtId="44" fontId="4" fillId="3" borderId="0" xfId="5" applyFont="1" applyFill="1"/>
    <xf numFmtId="44" fontId="4" fillId="4" borderId="0" xfId="5" applyFont="1" applyFill="1"/>
    <xf numFmtId="44" fontId="4" fillId="6" borderId="15" xfId="5" applyFont="1" applyFill="1" applyBorder="1"/>
    <xf numFmtId="44" fontId="3" fillId="6" borderId="0" xfId="2" applyNumberFormat="1" applyFont="1" applyFill="1" applyBorder="1"/>
    <xf numFmtId="10" fontId="3" fillId="6" borderId="17" xfId="2" applyNumberFormat="1" applyFont="1" applyFill="1" applyBorder="1"/>
    <xf numFmtId="44" fontId="4" fillId="6" borderId="8" xfId="5" applyFont="1" applyFill="1" applyBorder="1"/>
    <xf numFmtId="44" fontId="3" fillId="6" borderId="13" xfId="2" applyNumberFormat="1" applyFont="1" applyFill="1" applyBorder="1"/>
    <xf numFmtId="10" fontId="3" fillId="6" borderId="16" xfId="2" applyNumberFormat="1" applyFont="1" applyFill="1" applyBorder="1"/>
    <xf numFmtId="9" fontId="4" fillId="11" borderId="0" xfId="4" applyFont="1" applyFill="1" applyAlignment="1">
      <alignment horizontal="left"/>
    </xf>
    <xf numFmtId="6" fontId="3" fillId="11" borderId="12" xfId="3" applyNumberFormat="1" applyFont="1" applyFill="1" applyBorder="1"/>
    <xf numFmtId="6" fontId="3" fillId="11" borderId="9" xfId="3" applyNumberFormat="1" applyFont="1" applyFill="1" applyBorder="1"/>
    <xf numFmtId="3" fontId="4" fillId="0" borderId="0" xfId="3" applyNumberFormat="1" applyFont="1" applyAlignment="1">
      <alignment horizontal="left" vertical="center"/>
    </xf>
    <xf numFmtId="0" fontId="9" fillId="0" borderId="0" xfId="3" applyFont="1"/>
    <xf numFmtId="0" fontId="10" fillId="0" borderId="0" xfId="3" applyFont="1" applyAlignment="1">
      <alignment vertical="center"/>
    </xf>
    <xf numFmtId="6" fontId="4" fillId="11" borderId="0" xfId="3" applyNumberFormat="1" applyFont="1" applyFill="1" applyAlignment="1">
      <alignment horizontal="left"/>
    </xf>
    <xf numFmtId="6" fontId="3" fillId="11" borderId="0" xfId="3" applyNumberFormat="1" applyFont="1" applyFill="1"/>
    <xf numFmtId="6" fontId="3" fillId="11" borderId="17" xfId="3" applyNumberFormat="1" applyFont="1" applyFill="1" applyBorder="1"/>
    <xf numFmtId="165" fontId="10" fillId="0" borderId="0" xfId="3" applyNumberFormat="1" applyFont="1" applyAlignment="1">
      <alignment vertical="center"/>
    </xf>
    <xf numFmtId="0" fontId="2" fillId="8" borderId="0" xfId="3" applyFill="1"/>
    <xf numFmtId="0" fontId="11" fillId="8" borderId="0" xfId="3" applyFont="1" applyFill="1" applyAlignment="1">
      <alignment vertical="center"/>
    </xf>
    <xf numFmtId="0" fontId="11" fillId="0" borderId="0" xfId="3" applyFont="1" applyAlignment="1">
      <alignment vertical="center"/>
    </xf>
    <xf numFmtId="0" fontId="2" fillId="11" borderId="0" xfId="3" applyFill="1"/>
    <xf numFmtId="6" fontId="3" fillId="11" borderId="13" xfId="3" applyNumberFormat="1" applyFont="1" applyFill="1" applyBorder="1"/>
    <xf numFmtId="6" fontId="3" fillId="11" borderId="16" xfId="3" applyNumberFormat="1" applyFont="1" applyFill="1" applyBorder="1"/>
    <xf numFmtId="8" fontId="4" fillId="0" borderId="0" xfId="5" applyNumberFormat="1" applyFont="1"/>
    <xf numFmtId="0" fontId="9" fillId="0" borderId="5" xfId="3" applyFont="1" applyBorder="1"/>
    <xf numFmtId="0" fontId="2" fillId="0" borderId="12" xfId="3" applyBorder="1"/>
    <xf numFmtId="8" fontId="2" fillId="0" borderId="0" xfId="3" applyNumberFormat="1"/>
    <xf numFmtId="6" fontId="3" fillId="12" borderId="1" xfId="3" applyNumberFormat="1" applyFont="1" applyFill="1" applyBorder="1" applyAlignment="1">
      <alignment horizontal="left"/>
    </xf>
    <xf numFmtId="6" fontId="3" fillId="12" borderId="1" xfId="3" applyNumberFormat="1" applyFont="1" applyFill="1" applyBorder="1" applyAlignment="1">
      <alignment horizontal="right"/>
    </xf>
    <xf numFmtId="9" fontId="4" fillId="0" borderId="0" xfId="4" applyFont="1" applyAlignment="1">
      <alignment horizontal="left" wrapText="1"/>
    </xf>
    <xf numFmtId="8" fontId="2" fillId="0" borderId="15" xfId="3" applyNumberFormat="1" applyBorder="1"/>
    <xf numFmtId="44" fontId="10" fillId="13" borderId="0" xfId="5" applyFont="1" applyFill="1" applyAlignment="1">
      <alignment vertical="center"/>
    </xf>
    <xf numFmtId="44" fontId="10" fillId="0" borderId="0" xfId="5" applyFont="1" applyAlignment="1">
      <alignment vertical="center"/>
    </xf>
    <xf numFmtId="9" fontId="4" fillId="0" borderId="0" xfId="4" quotePrefix="1" applyFont="1" applyAlignment="1">
      <alignment horizontal="left" wrapText="1"/>
    </xf>
    <xf numFmtId="3" fontId="3" fillId="0" borderId="13" xfId="3" applyNumberFormat="1" applyFont="1" applyBorder="1"/>
    <xf numFmtId="4" fontId="4" fillId="0" borderId="0" xfId="3" applyNumberFormat="1" applyFont="1"/>
    <xf numFmtId="3" fontId="3" fillId="0" borderId="7" xfId="3" applyNumberFormat="1" applyFont="1" applyBorder="1"/>
    <xf numFmtId="8" fontId="2" fillId="0" borderId="8" xfId="3" applyNumberFormat="1" applyBorder="1"/>
    <xf numFmtId="0" fontId="2" fillId="0" borderId="13" xfId="3" applyBorder="1"/>
    <xf numFmtId="165" fontId="2" fillId="0" borderId="0" xfId="3" applyNumberFormat="1"/>
    <xf numFmtId="44" fontId="10" fillId="14" borderId="0" xfId="5" applyFont="1" applyFill="1" applyAlignment="1">
      <alignment vertical="center"/>
    </xf>
    <xf numFmtId="10" fontId="3" fillId="0" borderId="0" xfId="2" applyNumberFormat="1" applyFont="1" applyBorder="1"/>
    <xf numFmtId="6" fontId="4" fillId="12" borderId="1" xfId="3" applyNumberFormat="1" applyFont="1" applyFill="1" applyBorder="1"/>
    <xf numFmtId="165" fontId="4" fillId="12" borderId="1" xfId="4" applyNumberFormat="1" applyFont="1" applyFill="1" applyBorder="1"/>
    <xf numFmtId="8" fontId="4" fillId="12" borderId="1" xfId="3" applyNumberFormat="1" applyFont="1" applyFill="1" applyBorder="1"/>
    <xf numFmtId="9" fontId="4" fillId="12" borderId="1" xfId="4" applyFont="1" applyFill="1" applyBorder="1"/>
    <xf numFmtId="3" fontId="3" fillId="15" borderId="0" xfId="3" applyNumberFormat="1" applyFont="1" applyFill="1"/>
    <xf numFmtId="6" fontId="3" fillId="2" borderId="0" xfId="3" applyNumberFormat="1" applyFont="1" applyFill="1"/>
    <xf numFmtId="10" fontId="3" fillId="16" borderId="1" xfId="2" applyNumberFormat="1" applyFont="1" applyFill="1" applyBorder="1"/>
  </cellXfs>
  <cellStyles count="6">
    <cellStyle name="Comma" xfId="1" builtinId="3"/>
    <cellStyle name="Currency 2" xfId="5" xr:uid="{FFE22CFB-18BF-4065-8A9A-E47DA7D8EE0B}"/>
    <cellStyle name="Normal" xfId="0" builtinId="0"/>
    <cellStyle name="Normal 2 8" xfId="3" xr:uid="{57430284-DBBA-41A2-8214-E03B25B457E6}"/>
    <cellStyle name="Percent" xfId="2" builtinId="5"/>
    <cellStyle name="Percent 2" xfId="4" xr:uid="{4A08FC57-992A-4E9C-98CA-3E3AE1653395}"/>
  </cellStyles>
  <dxfs count="2"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5B550-FD33-4150-8EF3-2EB44371C8CE}">
  <sheetPr>
    <pageSetUpPr fitToPage="1"/>
  </sheetPr>
  <dimension ref="A1:BE559"/>
  <sheetViews>
    <sheetView tabSelected="1" topLeftCell="B1" zoomScale="80" zoomScaleNormal="80" workbookViewId="0">
      <selection activeCell="BG62" sqref="BG62"/>
    </sheetView>
  </sheetViews>
  <sheetFormatPr defaultColWidth="8.85546875" defaultRowHeight="12.75" x14ac:dyDescent="0.2"/>
  <cols>
    <col min="1" max="1" width="0" style="1" hidden="1" customWidth="1"/>
    <col min="2" max="2" width="9.28515625" style="2" bestFit="1" customWidth="1"/>
    <col min="3" max="3" width="33.5703125" style="3" customWidth="1"/>
    <col min="4" max="7" width="13.42578125" style="51" hidden="1" customWidth="1"/>
    <col min="8" max="8" width="9" style="51" hidden="1" customWidth="1"/>
    <col min="9" max="9" width="8" style="51" hidden="1" customWidth="1"/>
    <col min="10" max="10" width="12" style="51" hidden="1" customWidth="1"/>
    <col min="11" max="11" width="14.42578125" style="51" hidden="1" customWidth="1"/>
    <col min="12" max="12" width="11.7109375" style="51" hidden="1" customWidth="1"/>
    <col min="13" max="13" width="18.42578125" style="51" hidden="1" customWidth="1"/>
    <col min="14" max="14" width="14" style="51" hidden="1" customWidth="1"/>
    <col min="15" max="15" width="12.7109375" style="51" hidden="1" customWidth="1"/>
    <col min="16" max="16" width="14.85546875" style="51" hidden="1" customWidth="1"/>
    <col min="17" max="17" width="13" style="51" hidden="1" customWidth="1"/>
    <col min="18" max="18" width="12.42578125" style="51" hidden="1" customWidth="1"/>
    <col min="19" max="19" width="14.7109375" style="237" hidden="1" customWidth="1"/>
    <col min="20" max="20" width="11.140625" style="237" hidden="1" customWidth="1"/>
    <col min="21" max="21" width="16.7109375" style="51" hidden="1" customWidth="1"/>
    <col min="22" max="22" width="9.85546875" style="51" hidden="1" customWidth="1"/>
    <col min="23" max="23" width="11.42578125" style="23" hidden="1" customWidth="1"/>
    <col min="24" max="24" width="15.85546875" style="23" hidden="1" customWidth="1"/>
    <col min="25" max="25" width="22.28515625" style="23" hidden="1" customWidth="1"/>
    <col min="26" max="26" width="12.85546875" style="23" hidden="1" customWidth="1"/>
    <col min="27" max="27" width="14.42578125" style="23" hidden="1" customWidth="1"/>
    <col min="28" max="28" width="10.7109375" style="23" hidden="1" customWidth="1"/>
    <col min="29" max="29" width="14.42578125" style="23" hidden="1" customWidth="1"/>
    <col min="30" max="30" width="17.5703125" style="23" hidden="1" customWidth="1"/>
    <col min="31" max="32" width="16.85546875" style="23" hidden="1" customWidth="1"/>
    <col min="33" max="33" width="14.7109375" style="23" hidden="1" customWidth="1"/>
    <col min="34" max="34" width="9.7109375" style="23" hidden="1" customWidth="1"/>
    <col min="35" max="35" width="16.140625" style="23" hidden="1" customWidth="1"/>
    <col min="36" max="36" width="11.5703125" style="23" hidden="1" customWidth="1"/>
    <col min="37" max="37" width="16.28515625" style="23" hidden="1" customWidth="1"/>
    <col min="38" max="38" width="10.42578125" style="23" hidden="1" customWidth="1"/>
    <col min="39" max="39" width="8.140625" style="1" hidden="1" customWidth="1"/>
    <col min="40" max="40" width="13.7109375" style="1" hidden="1" customWidth="1"/>
    <col min="41" max="41" width="12.7109375" style="1" hidden="1" customWidth="1"/>
    <col min="42" max="42" width="9.140625" style="1" hidden="1" customWidth="1"/>
    <col min="43" max="43" width="15.42578125" style="1" customWidth="1"/>
    <col min="44" max="44" width="15.140625" style="1" hidden="1" customWidth="1"/>
    <col min="45" max="45" width="7.42578125" style="1" hidden="1" customWidth="1"/>
    <col min="46" max="46" width="13.5703125" style="1" customWidth="1"/>
    <col min="47" max="47" width="15.140625" style="24" bestFit="1" customWidth="1"/>
    <col min="48" max="48" width="10.85546875" style="24" customWidth="1"/>
    <col min="49" max="49" width="12.28515625" style="24" customWidth="1"/>
    <col min="50" max="50" width="15.140625" style="236" bestFit="1" customWidth="1"/>
    <col min="51" max="51" width="15.140625" style="236" customWidth="1"/>
    <col min="52" max="52" width="10.140625" style="236" customWidth="1"/>
    <col min="53" max="53" width="16.85546875" style="236" bestFit="1" customWidth="1"/>
    <col min="54" max="54" width="0" style="1" hidden="1" customWidth="1"/>
    <col min="55" max="55" width="8.85546875" style="1"/>
    <col min="56" max="56" width="13.85546875" style="1" bestFit="1" customWidth="1"/>
    <col min="57" max="16384" width="8.85546875" style="1"/>
  </cols>
  <sheetData>
    <row r="1" spans="1:56" ht="27" customHeight="1" x14ac:dyDescent="0.2">
      <c r="D1" s="4" t="s">
        <v>0</v>
      </c>
      <c r="E1" s="4" t="s">
        <v>1</v>
      </c>
      <c r="F1" s="4" t="s">
        <v>2</v>
      </c>
      <c r="G1" s="4" t="s">
        <v>3</v>
      </c>
      <c r="H1" s="4" t="s">
        <v>4</v>
      </c>
      <c r="I1" s="4" t="s">
        <v>4</v>
      </c>
      <c r="J1" s="5" t="s">
        <v>5</v>
      </c>
      <c r="K1" s="5" t="s">
        <v>6</v>
      </c>
      <c r="L1" s="5" t="s">
        <v>7</v>
      </c>
      <c r="M1" s="5" t="s">
        <v>8</v>
      </c>
      <c r="N1" s="5" t="s">
        <v>9</v>
      </c>
      <c r="O1" s="5" t="s">
        <v>9</v>
      </c>
      <c r="P1" s="5" t="s">
        <v>10</v>
      </c>
      <c r="Q1" s="5" t="s">
        <v>11</v>
      </c>
      <c r="R1" s="5" t="s">
        <v>11</v>
      </c>
      <c r="S1" s="5" t="s">
        <v>12</v>
      </c>
      <c r="T1" s="5" t="s">
        <v>12</v>
      </c>
      <c r="U1" s="6" t="s">
        <v>13</v>
      </c>
      <c r="V1" s="6" t="s">
        <v>14</v>
      </c>
      <c r="W1" s="6" t="s">
        <v>15</v>
      </c>
      <c r="X1" s="6" t="s">
        <v>16</v>
      </c>
      <c r="Y1" s="6" t="s">
        <v>17</v>
      </c>
      <c r="Z1" s="6" t="s">
        <v>16</v>
      </c>
      <c r="AA1" s="6" t="s">
        <v>18</v>
      </c>
      <c r="AB1" s="7" t="s">
        <v>16</v>
      </c>
      <c r="AC1" s="6" t="s">
        <v>19</v>
      </c>
      <c r="AD1" s="6" t="s">
        <v>16</v>
      </c>
      <c r="AE1" s="6" t="s">
        <v>20</v>
      </c>
      <c r="AF1" s="6" t="s">
        <v>16</v>
      </c>
      <c r="AG1" s="6"/>
      <c r="AH1" s="6" t="s">
        <v>16</v>
      </c>
      <c r="AI1" s="6" t="s">
        <v>21</v>
      </c>
      <c r="AJ1" s="8">
        <v>0.02</v>
      </c>
      <c r="AK1" s="6"/>
      <c r="AL1" s="6" t="s">
        <v>22</v>
      </c>
      <c r="AM1" s="8">
        <v>0.01</v>
      </c>
      <c r="AN1" s="6"/>
      <c r="AO1" s="6"/>
      <c r="AP1" s="5"/>
      <c r="AQ1" s="5"/>
      <c r="AR1" s="9"/>
      <c r="AS1" s="5"/>
      <c r="AT1" s="5" t="s">
        <v>23</v>
      </c>
      <c r="AU1" s="9" t="s">
        <v>24</v>
      </c>
      <c r="AV1" s="5" t="s">
        <v>25</v>
      </c>
      <c r="AW1" s="5"/>
      <c r="AX1" s="9"/>
      <c r="AY1" s="10"/>
      <c r="AZ1" s="5" t="s">
        <v>25</v>
      </c>
      <c r="BA1" s="5"/>
    </row>
    <row r="2" spans="1:56" ht="36" customHeight="1" thickBot="1" x14ac:dyDescent="0.25">
      <c r="C2" s="2"/>
      <c r="D2" s="11" t="s">
        <v>26</v>
      </c>
      <c r="E2" s="11" t="s">
        <v>26</v>
      </c>
      <c r="F2" s="11" t="s">
        <v>26</v>
      </c>
      <c r="G2" s="11" t="s">
        <v>26</v>
      </c>
      <c r="H2" s="11" t="s">
        <v>26</v>
      </c>
      <c r="I2" s="11" t="s">
        <v>27</v>
      </c>
      <c r="J2" s="12" t="s">
        <v>26</v>
      </c>
      <c r="K2" s="12" t="s">
        <v>26</v>
      </c>
      <c r="L2" s="12" t="s">
        <v>27</v>
      </c>
      <c r="M2" s="12" t="s">
        <v>28</v>
      </c>
      <c r="N2" s="12" t="s">
        <v>26</v>
      </c>
      <c r="O2" s="12" t="s">
        <v>27</v>
      </c>
      <c r="P2" s="12" t="s">
        <v>26</v>
      </c>
      <c r="Q2" s="12" t="s">
        <v>26</v>
      </c>
      <c r="R2" s="12" t="s">
        <v>29</v>
      </c>
      <c r="S2" s="13" t="s">
        <v>26</v>
      </c>
      <c r="T2" s="13" t="s">
        <v>27</v>
      </c>
      <c r="U2" s="14" t="s">
        <v>30</v>
      </c>
      <c r="V2" s="6" t="s">
        <v>27</v>
      </c>
      <c r="W2" s="6" t="s">
        <v>31</v>
      </c>
      <c r="X2" s="15" t="s">
        <v>32</v>
      </c>
      <c r="Y2" s="15" t="s">
        <v>33</v>
      </c>
      <c r="Z2" s="15" t="s">
        <v>34</v>
      </c>
      <c r="AA2" s="6" t="s">
        <v>33</v>
      </c>
      <c r="AB2" s="16" t="s">
        <v>35</v>
      </c>
      <c r="AC2" s="15" t="s">
        <v>36</v>
      </c>
      <c r="AD2" s="6" t="s">
        <v>37</v>
      </c>
      <c r="AE2" s="6" t="s">
        <v>36</v>
      </c>
      <c r="AF2" s="15" t="s">
        <v>38</v>
      </c>
      <c r="AG2" s="6" t="s">
        <v>39</v>
      </c>
      <c r="AH2" s="15" t="s">
        <v>40</v>
      </c>
      <c r="AI2" s="6" t="s">
        <v>36</v>
      </c>
      <c r="AJ2" s="6" t="s">
        <v>41</v>
      </c>
      <c r="AK2" s="6" t="s">
        <v>42</v>
      </c>
      <c r="AL2" s="6" t="s">
        <v>36</v>
      </c>
      <c r="AM2" s="15" t="s">
        <v>41</v>
      </c>
      <c r="AN2" s="15" t="s">
        <v>43</v>
      </c>
      <c r="AO2" s="15" t="s">
        <v>44</v>
      </c>
      <c r="AP2" s="15" t="s">
        <v>45</v>
      </c>
      <c r="AQ2" s="15" t="s">
        <v>46</v>
      </c>
      <c r="AR2" s="15" t="s">
        <v>47</v>
      </c>
      <c r="AS2" s="15" t="s">
        <v>48</v>
      </c>
      <c r="AT2" s="15" t="s">
        <v>49</v>
      </c>
      <c r="AU2" s="17" t="s">
        <v>50</v>
      </c>
      <c r="AV2" s="17" t="s">
        <v>48</v>
      </c>
      <c r="AW2" s="17" t="s">
        <v>51</v>
      </c>
      <c r="AX2" s="18" t="s">
        <v>52</v>
      </c>
      <c r="AY2" s="18" t="s">
        <v>53</v>
      </c>
      <c r="AZ2" s="18" t="s">
        <v>41</v>
      </c>
      <c r="BA2" s="18" t="s">
        <v>54</v>
      </c>
      <c r="BC2" s="19" t="s">
        <v>55</v>
      </c>
    </row>
    <row r="3" spans="1:56" x14ac:dyDescent="0.2">
      <c r="C3" s="20" t="s">
        <v>56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1"/>
      <c r="T3" s="21"/>
      <c r="U3" s="4"/>
      <c r="V3" s="4" t="s">
        <v>57</v>
      </c>
      <c r="W3" s="22"/>
      <c r="X3" s="22" t="s">
        <v>57</v>
      </c>
      <c r="Z3" s="23" t="s">
        <v>57</v>
      </c>
      <c r="AL3" s="1"/>
      <c r="AX3" s="25"/>
      <c r="AY3" s="25"/>
      <c r="AZ3" s="25"/>
      <c r="BA3" s="25"/>
      <c r="BC3" s="26"/>
    </row>
    <row r="4" spans="1:56" x14ac:dyDescent="0.2">
      <c r="A4" s="1" t="s">
        <v>58</v>
      </c>
      <c r="B4" s="2">
        <v>334214</v>
      </c>
      <c r="C4" s="27" t="s">
        <v>59</v>
      </c>
      <c r="D4" s="28">
        <v>7000</v>
      </c>
      <c r="E4" s="28">
        <v>8000</v>
      </c>
      <c r="F4" s="28">
        <v>8000</v>
      </c>
      <c r="G4" s="28">
        <v>9000</v>
      </c>
      <c r="H4" s="28">
        <v>8000</v>
      </c>
      <c r="I4" s="28"/>
      <c r="J4" s="28">
        <v>8000</v>
      </c>
      <c r="K4" s="28">
        <v>7000</v>
      </c>
      <c r="L4" s="28"/>
      <c r="M4" s="28"/>
      <c r="N4" s="28">
        <v>7000</v>
      </c>
      <c r="O4" s="28"/>
      <c r="P4" s="28">
        <v>7000</v>
      </c>
      <c r="Q4" s="28">
        <v>8500</v>
      </c>
      <c r="R4" s="28"/>
      <c r="S4" s="28">
        <v>8500</v>
      </c>
      <c r="T4" s="29"/>
      <c r="U4" s="30">
        <v>8500</v>
      </c>
      <c r="V4" s="29">
        <v>0</v>
      </c>
      <c r="W4" s="28">
        <v>8500</v>
      </c>
      <c r="X4" s="28">
        <f t="shared" ref="X4:X13" si="0">+W4-U4</f>
        <v>0</v>
      </c>
      <c r="Y4" s="31">
        <v>8500</v>
      </c>
      <c r="Z4" s="31">
        <f>+Y4-W4</f>
        <v>0</v>
      </c>
      <c r="AA4" s="31">
        <v>8500</v>
      </c>
      <c r="AB4" s="32">
        <f>AA4-Y4</f>
        <v>0</v>
      </c>
      <c r="AC4" s="32">
        <v>8620</v>
      </c>
      <c r="AD4" s="33">
        <f>AC4-AA4</f>
        <v>120</v>
      </c>
      <c r="AE4" s="32">
        <f>8620+3000-1500</f>
        <v>10120</v>
      </c>
      <c r="AF4" s="32">
        <f>AG4-AE4</f>
        <v>2500</v>
      </c>
      <c r="AG4" s="32">
        <v>12620</v>
      </c>
      <c r="AH4" s="32">
        <f>AG4-AE4</f>
        <v>2500</v>
      </c>
      <c r="AI4" s="32">
        <v>12620</v>
      </c>
      <c r="AJ4" s="32">
        <f>AI4*0.02</f>
        <v>252.4</v>
      </c>
      <c r="AK4" s="32">
        <f>AI4-AJ4</f>
        <v>12367.6</v>
      </c>
      <c r="AL4" s="34">
        <v>12368</v>
      </c>
      <c r="AM4" s="34">
        <f>AL4*0.01</f>
        <v>123.68</v>
      </c>
      <c r="AN4" s="34">
        <f>AL4-AM4</f>
        <v>12244.32</v>
      </c>
      <c r="AO4" s="34">
        <v>12244</v>
      </c>
      <c r="AP4" s="34">
        <v>0</v>
      </c>
      <c r="AQ4" s="34">
        <f>AO4+AP4</f>
        <v>12244</v>
      </c>
      <c r="AR4" s="34">
        <v>12244</v>
      </c>
      <c r="AS4" s="34">
        <v>0</v>
      </c>
      <c r="AT4" s="34">
        <f>AR4+AS4</f>
        <v>12244</v>
      </c>
      <c r="AU4" s="35">
        <v>12244</v>
      </c>
      <c r="AV4" s="35">
        <v>0</v>
      </c>
      <c r="AW4" s="35">
        <f>AU4+AV4</f>
        <v>12244</v>
      </c>
      <c r="AX4" s="36">
        <v>12244</v>
      </c>
      <c r="AY4" s="36">
        <v>0</v>
      </c>
      <c r="AZ4" s="36">
        <v>0</v>
      </c>
      <c r="BA4" s="36">
        <f t="shared" ref="BA4:BA14" si="1">AX4+AY4-AZ4</f>
        <v>12244</v>
      </c>
      <c r="BC4" s="37">
        <f t="shared" ref="BC4:BC15" si="2">BA4/$BA$74</f>
        <v>1.0847128487621127E-2</v>
      </c>
    </row>
    <row r="5" spans="1:56" x14ac:dyDescent="0.2">
      <c r="A5" s="1" t="s">
        <v>58</v>
      </c>
      <c r="B5" s="38">
        <v>334308</v>
      </c>
      <c r="C5" s="39" t="s">
        <v>60</v>
      </c>
      <c r="D5" s="40">
        <v>60000</v>
      </c>
      <c r="E5" s="40">
        <v>60000</v>
      </c>
      <c r="F5" s="40">
        <v>60000</v>
      </c>
      <c r="G5" s="40">
        <v>65000</v>
      </c>
      <c r="H5" s="40">
        <v>70000</v>
      </c>
      <c r="I5" s="40"/>
      <c r="J5" s="40">
        <v>70000</v>
      </c>
      <c r="K5" s="40">
        <v>80000</v>
      </c>
      <c r="L5" s="40"/>
      <c r="M5" s="40"/>
      <c r="N5" s="40">
        <v>80000</v>
      </c>
      <c r="O5" s="40"/>
      <c r="P5" s="40">
        <v>92000</v>
      </c>
      <c r="Q5" s="40">
        <v>95000</v>
      </c>
      <c r="R5" s="40"/>
      <c r="S5" s="40">
        <v>95000</v>
      </c>
      <c r="T5" s="41"/>
      <c r="U5" s="40">
        <v>95000</v>
      </c>
      <c r="V5" s="42">
        <v>0</v>
      </c>
      <c r="W5" s="40">
        <v>95000</v>
      </c>
      <c r="X5" s="40">
        <f t="shared" si="0"/>
        <v>0</v>
      </c>
      <c r="Y5" s="43">
        <v>95000</v>
      </c>
      <c r="Z5" s="43">
        <f t="shared" ref="Z5:Z69" si="3">+Y5-W5</f>
        <v>0</v>
      </c>
      <c r="AA5" s="43">
        <v>95000</v>
      </c>
      <c r="AB5" s="44">
        <f t="shared" ref="AB5:AB15" si="4">AA5-Y5</f>
        <v>0</v>
      </c>
      <c r="AC5" s="44">
        <v>95000</v>
      </c>
      <c r="AD5" s="45">
        <f>AC5-AA5</f>
        <v>0</v>
      </c>
      <c r="AE5" s="44">
        <f>100000-2500</f>
        <v>97500</v>
      </c>
      <c r="AF5" s="44">
        <f t="shared" ref="AF5:AF13" si="5">AE5-AC5</f>
        <v>2500</v>
      </c>
      <c r="AG5" s="44">
        <v>100000</v>
      </c>
      <c r="AH5" s="44">
        <f t="shared" ref="AH5:AH13" si="6">AG5-AE5</f>
        <v>2500</v>
      </c>
      <c r="AI5" s="44">
        <v>100000</v>
      </c>
      <c r="AJ5" s="44">
        <f>AI5*0.02</f>
        <v>2000</v>
      </c>
      <c r="AK5" s="44">
        <f>AI5-AJ5</f>
        <v>98000</v>
      </c>
      <c r="AL5" s="46">
        <v>98000</v>
      </c>
      <c r="AM5" s="46">
        <f>AL5*0.01</f>
        <v>980</v>
      </c>
      <c r="AN5" s="46">
        <f>AL5-AM5</f>
        <v>97020</v>
      </c>
      <c r="AO5" s="46">
        <v>97020</v>
      </c>
      <c r="AP5" s="46">
        <v>2980</v>
      </c>
      <c r="AQ5" s="46">
        <f t="shared" ref="AQ5:AQ13" si="7">AO5+AP5</f>
        <v>100000</v>
      </c>
      <c r="AR5" s="46">
        <v>100000</v>
      </c>
      <c r="AS5" s="46">
        <v>0</v>
      </c>
      <c r="AT5" s="46">
        <f t="shared" ref="AT5:AT13" si="8">AR5+AS5</f>
        <v>100000</v>
      </c>
      <c r="AU5" s="46">
        <v>100000</v>
      </c>
      <c r="AV5" s="46">
        <v>0</v>
      </c>
      <c r="AW5" s="46">
        <f t="shared" ref="AW5:AW13" si="9">AU5+AV5</f>
        <v>100000</v>
      </c>
      <c r="AX5" s="46">
        <v>100000</v>
      </c>
      <c r="AY5" s="46">
        <v>50000</v>
      </c>
      <c r="AZ5" s="46">
        <v>50000</v>
      </c>
      <c r="BA5" s="46">
        <f t="shared" si="1"/>
        <v>100000</v>
      </c>
      <c r="BC5" s="83">
        <f t="shared" si="2"/>
        <v>8.8591379350058203E-2</v>
      </c>
      <c r="BD5" s="1" t="s">
        <v>164</v>
      </c>
    </row>
    <row r="6" spans="1:56" x14ac:dyDescent="0.2">
      <c r="A6" s="1" t="s">
        <v>58</v>
      </c>
      <c r="B6" s="47">
        <v>334329</v>
      </c>
      <c r="C6" s="48" t="s">
        <v>61</v>
      </c>
      <c r="D6" s="49">
        <v>23500</v>
      </c>
      <c r="E6" s="49">
        <v>23500</v>
      </c>
      <c r="F6" s="49">
        <v>23500</v>
      </c>
      <c r="G6" s="49">
        <v>23500</v>
      </c>
      <c r="H6" s="49">
        <v>23700</v>
      </c>
      <c r="I6" s="49"/>
      <c r="J6" s="49">
        <v>20860</v>
      </c>
      <c r="K6" s="49">
        <v>21905</v>
      </c>
      <c r="L6" s="49"/>
      <c r="M6" s="49"/>
      <c r="N6" s="49">
        <v>22600</v>
      </c>
      <c r="O6" s="49"/>
      <c r="P6" s="49">
        <v>24505</v>
      </c>
      <c r="Q6" s="49">
        <v>43500</v>
      </c>
      <c r="R6" s="49"/>
      <c r="S6" s="49">
        <v>36620</v>
      </c>
      <c r="T6" s="29"/>
      <c r="U6" s="50">
        <v>32670</v>
      </c>
      <c r="V6" s="29">
        <v>0</v>
      </c>
      <c r="W6" s="28">
        <v>29670</v>
      </c>
      <c r="X6" s="28">
        <f t="shared" si="0"/>
        <v>-3000</v>
      </c>
      <c r="Y6" s="31">
        <v>29670</v>
      </c>
      <c r="Z6" s="31">
        <f t="shared" si="3"/>
        <v>0</v>
      </c>
      <c r="AA6" s="31">
        <v>29670</v>
      </c>
      <c r="AB6" s="32">
        <f t="shared" si="4"/>
        <v>0</v>
      </c>
      <c r="AC6" s="32">
        <v>29670</v>
      </c>
      <c r="AD6" s="33">
        <f>AC6-AA6</f>
        <v>0</v>
      </c>
      <c r="AE6" s="32">
        <v>29670</v>
      </c>
      <c r="AF6" s="32">
        <f t="shared" si="5"/>
        <v>0</v>
      </c>
      <c r="AG6" s="32">
        <v>32170</v>
      </c>
      <c r="AH6" s="32">
        <f>AG6-AE6</f>
        <v>2500</v>
      </c>
      <c r="AI6" s="32">
        <v>32170</v>
      </c>
      <c r="AJ6" s="32">
        <f>AI6*0.02</f>
        <v>643.4</v>
      </c>
      <c r="AK6" s="32">
        <f>AI6-AJ6</f>
        <v>31526.6</v>
      </c>
      <c r="AL6" s="34">
        <v>31527</v>
      </c>
      <c r="AM6" s="34">
        <f>AL6*0.01</f>
        <v>315.27</v>
      </c>
      <c r="AN6" s="34">
        <f t="shared" ref="AN6:AN14" si="10">AL6-AM6</f>
        <v>31211.73</v>
      </c>
      <c r="AO6" s="34">
        <v>31212</v>
      </c>
      <c r="AP6" s="34">
        <v>0</v>
      </c>
      <c r="AQ6" s="34">
        <f t="shared" si="7"/>
        <v>31212</v>
      </c>
      <c r="AR6" s="34">
        <v>31212</v>
      </c>
      <c r="AS6" s="34">
        <v>0</v>
      </c>
      <c r="AT6" s="34">
        <f t="shared" si="8"/>
        <v>31212</v>
      </c>
      <c r="AU6" s="35">
        <v>31212</v>
      </c>
      <c r="AV6" s="35">
        <v>0</v>
      </c>
      <c r="AW6" s="35">
        <f t="shared" si="9"/>
        <v>31212</v>
      </c>
      <c r="AX6" s="36">
        <v>31212</v>
      </c>
      <c r="AY6" s="36"/>
      <c r="AZ6" s="36">
        <v>3400</v>
      </c>
      <c r="BA6" s="36">
        <f t="shared" si="1"/>
        <v>27812</v>
      </c>
      <c r="BB6" s="1" t="s">
        <v>62</v>
      </c>
      <c r="BC6" s="37">
        <f t="shared" si="2"/>
        <v>2.463903442483819E-2</v>
      </c>
    </row>
    <row r="7" spans="1:56" x14ac:dyDescent="0.2">
      <c r="A7" s="1" t="s">
        <v>58</v>
      </c>
      <c r="B7" s="2">
        <v>334335</v>
      </c>
      <c r="C7" s="27" t="s">
        <v>63</v>
      </c>
      <c r="D7" s="28">
        <v>22000</v>
      </c>
      <c r="E7" s="28">
        <v>23000</v>
      </c>
      <c r="F7" s="28">
        <v>23300</v>
      </c>
      <c r="G7" s="28">
        <v>25300</v>
      </c>
      <c r="H7" s="28">
        <v>27700</v>
      </c>
      <c r="I7" s="28"/>
      <c r="J7" s="28">
        <v>38036.160000000003</v>
      </c>
      <c r="K7" s="28">
        <f>38036-4000</f>
        <v>34036</v>
      </c>
      <c r="L7" s="28"/>
      <c r="M7" s="28"/>
      <c r="N7" s="28">
        <v>18900</v>
      </c>
      <c r="O7" s="28"/>
      <c r="P7" s="28">
        <v>19500</v>
      </c>
      <c r="Q7" s="28">
        <v>19500</v>
      </c>
      <c r="R7" s="28"/>
      <c r="S7" s="28">
        <v>22500</v>
      </c>
      <c r="T7" s="29"/>
      <c r="U7" s="29">
        <v>22500</v>
      </c>
      <c r="V7" s="29">
        <f t="shared" ref="V7:V13" si="11">+U7-S7</f>
        <v>0</v>
      </c>
      <c r="W7" s="28">
        <v>22500</v>
      </c>
      <c r="X7" s="28">
        <f t="shared" si="0"/>
        <v>0</v>
      </c>
      <c r="Y7" s="31">
        <v>22500</v>
      </c>
      <c r="Z7" s="31">
        <f t="shared" si="3"/>
        <v>0</v>
      </c>
      <c r="AA7" s="31">
        <v>22500</v>
      </c>
      <c r="AB7" s="32">
        <f t="shared" si="4"/>
        <v>0</v>
      </c>
      <c r="AC7" s="32">
        <v>23672</v>
      </c>
      <c r="AD7" s="33">
        <f>AC7-AA7</f>
        <v>1172</v>
      </c>
      <c r="AE7" s="32">
        <f>23672+1000+1500</f>
        <v>26172</v>
      </c>
      <c r="AF7" s="32" t="s">
        <v>64</v>
      </c>
      <c r="AG7" s="32">
        <f>23672+1000+1500</f>
        <v>26172</v>
      </c>
      <c r="AH7" s="32">
        <f t="shared" si="6"/>
        <v>0</v>
      </c>
      <c r="AI7" s="32">
        <f>23672+1000+1500</f>
        <v>26172</v>
      </c>
      <c r="AJ7" s="32">
        <f t="shared" ref="AJ7:AJ13" si="12">AI7*0.02</f>
        <v>523.44000000000005</v>
      </c>
      <c r="AK7" s="32">
        <f t="shared" ref="AK7:AK14" si="13">AI7-AJ7</f>
        <v>25648.560000000001</v>
      </c>
      <c r="AL7" s="34">
        <v>25649</v>
      </c>
      <c r="AM7" s="34">
        <f>AL7*0.01</f>
        <v>256.49</v>
      </c>
      <c r="AN7" s="34">
        <f t="shared" si="10"/>
        <v>25392.51</v>
      </c>
      <c r="AO7" s="34">
        <v>25393</v>
      </c>
      <c r="AP7" s="34">
        <v>804</v>
      </c>
      <c r="AQ7" s="34">
        <f t="shared" si="7"/>
        <v>26197</v>
      </c>
      <c r="AR7" s="34">
        <v>26197</v>
      </c>
      <c r="AS7" s="34">
        <v>0</v>
      </c>
      <c r="AT7" s="34">
        <f t="shared" si="8"/>
        <v>26197</v>
      </c>
      <c r="AU7" s="35">
        <v>26197</v>
      </c>
      <c r="AV7" s="35">
        <v>0</v>
      </c>
      <c r="AW7" s="35">
        <f t="shared" si="9"/>
        <v>26197</v>
      </c>
      <c r="AX7" s="36">
        <v>26197</v>
      </c>
      <c r="AY7" s="36"/>
      <c r="AZ7" s="36">
        <v>0</v>
      </c>
      <c r="BA7" s="36">
        <f t="shared" si="1"/>
        <v>26197</v>
      </c>
      <c r="BC7" s="37">
        <f t="shared" si="2"/>
        <v>2.3208283648334747E-2</v>
      </c>
    </row>
    <row r="8" spans="1:56" x14ac:dyDescent="0.2">
      <c r="A8" s="1" t="s">
        <v>58</v>
      </c>
      <c r="B8" s="2">
        <v>334306</v>
      </c>
      <c r="C8" s="27" t="s">
        <v>65</v>
      </c>
      <c r="D8" s="28">
        <v>1000</v>
      </c>
      <c r="E8" s="28">
        <v>1000</v>
      </c>
      <c r="F8" s="28">
        <v>500</v>
      </c>
      <c r="G8" s="28">
        <v>500</v>
      </c>
      <c r="H8" s="28">
        <v>300</v>
      </c>
      <c r="I8" s="28"/>
      <c r="J8" s="28">
        <v>300</v>
      </c>
      <c r="K8" s="28">
        <v>300</v>
      </c>
      <c r="L8" s="28"/>
      <c r="M8" s="28"/>
      <c r="N8" s="28">
        <v>300</v>
      </c>
      <c r="O8" s="28"/>
      <c r="P8" s="28">
        <v>350</v>
      </c>
      <c r="Q8" s="28">
        <v>300</v>
      </c>
      <c r="R8" s="28"/>
      <c r="S8" s="28">
        <v>300</v>
      </c>
      <c r="T8" s="29"/>
      <c r="U8" s="29">
        <v>300</v>
      </c>
      <c r="V8" s="29">
        <f t="shared" si="11"/>
        <v>0</v>
      </c>
      <c r="W8" s="28">
        <v>300</v>
      </c>
      <c r="X8" s="28">
        <f t="shared" si="0"/>
        <v>0</v>
      </c>
      <c r="Y8" s="31">
        <v>300</v>
      </c>
      <c r="Z8" s="31">
        <f t="shared" si="3"/>
        <v>0</v>
      </c>
      <c r="AA8" s="31">
        <v>300</v>
      </c>
      <c r="AB8" s="32">
        <f t="shared" si="4"/>
        <v>0</v>
      </c>
      <c r="AC8" s="32">
        <v>300</v>
      </c>
      <c r="AD8" s="33">
        <f t="shared" ref="AD8:AD15" si="14">AC8-AA8</f>
        <v>0</v>
      </c>
      <c r="AE8" s="32">
        <v>300</v>
      </c>
      <c r="AF8" s="32">
        <f t="shared" si="5"/>
        <v>0</v>
      </c>
      <c r="AG8" s="32">
        <v>1000</v>
      </c>
      <c r="AH8" s="32">
        <f t="shared" si="6"/>
        <v>700</v>
      </c>
      <c r="AI8" s="32">
        <v>1000</v>
      </c>
      <c r="AJ8" s="32">
        <f t="shared" si="12"/>
        <v>20</v>
      </c>
      <c r="AK8" s="32">
        <f t="shared" si="13"/>
        <v>980</v>
      </c>
      <c r="AL8" s="34">
        <v>980</v>
      </c>
      <c r="AM8" s="34">
        <f>AL8*0.01</f>
        <v>9.8000000000000007</v>
      </c>
      <c r="AN8" s="34">
        <f t="shared" si="10"/>
        <v>970.2</v>
      </c>
      <c r="AO8" s="34">
        <v>970</v>
      </c>
      <c r="AP8" s="34">
        <v>0</v>
      </c>
      <c r="AQ8" s="34">
        <f t="shared" si="7"/>
        <v>970</v>
      </c>
      <c r="AR8" s="34">
        <v>970</v>
      </c>
      <c r="AS8" s="34">
        <v>0</v>
      </c>
      <c r="AT8" s="34">
        <f t="shared" si="8"/>
        <v>970</v>
      </c>
      <c r="AU8" s="35">
        <v>970</v>
      </c>
      <c r="AV8" s="35">
        <v>0</v>
      </c>
      <c r="AW8" s="35">
        <f t="shared" si="9"/>
        <v>970</v>
      </c>
      <c r="AX8" s="36">
        <v>970</v>
      </c>
      <c r="AY8" s="36"/>
      <c r="AZ8" s="36">
        <v>0</v>
      </c>
      <c r="BA8" s="36">
        <f t="shared" si="1"/>
        <v>970</v>
      </c>
      <c r="BB8" s="1" t="s">
        <v>66</v>
      </c>
      <c r="BC8" s="37">
        <f t="shared" si="2"/>
        <v>8.5933637969556464E-4</v>
      </c>
    </row>
    <row r="9" spans="1:56" x14ac:dyDescent="0.2">
      <c r="A9" s="1" t="s">
        <v>58</v>
      </c>
      <c r="B9" s="2">
        <v>334217</v>
      </c>
      <c r="C9" s="27" t="s">
        <v>67</v>
      </c>
      <c r="D9" s="28">
        <v>1600</v>
      </c>
      <c r="E9" s="28">
        <v>1600</v>
      </c>
      <c r="F9" s="28">
        <v>1600</v>
      </c>
      <c r="G9" s="28">
        <v>1600</v>
      </c>
      <c r="H9" s="28">
        <v>1600</v>
      </c>
      <c r="I9" s="28"/>
      <c r="J9" s="28">
        <v>1600</v>
      </c>
      <c r="K9" s="28">
        <v>1600</v>
      </c>
      <c r="L9" s="28"/>
      <c r="M9" s="28"/>
      <c r="N9" s="28">
        <v>1600</v>
      </c>
      <c r="O9" s="28"/>
      <c r="P9" s="28">
        <v>2000</v>
      </c>
      <c r="Q9" s="28">
        <v>2000</v>
      </c>
      <c r="R9" s="28"/>
      <c r="S9" s="28">
        <v>2000</v>
      </c>
      <c r="T9" s="29"/>
      <c r="U9" s="29">
        <v>2000</v>
      </c>
      <c r="V9" s="29">
        <f t="shared" si="11"/>
        <v>0</v>
      </c>
      <c r="W9" s="28">
        <v>2000</v>
      </c>
      <c r="X9" s="28">
        <f t="shared" si="0"/>
        <v>0</v>
      </c>
      <c r="Y9" s="31">
        <v>2000</v>
      </c>
      <c r="Z9" s="31">
        <f t="shared" si="3"/>
        <v>0</v>
      </c>
      <c r="AA9" s="31">
        <v>2000</v>
      </c>
      <c r="AB9" s="32">
        <f t="shared" si="4"/>
        <v>0</v>
      </c>
      <c r="AC9" s="32">
        <v>2000</v>
      </c>
      <c r="AD9" s="33">
        <f t="shared" si="14"/>
        <v>0</v>
      </c>
      <c r="AE9" s="32">
        <v>2000</v>
      </c>
      <c r="AF9" s="32">
        <f t="shared" si="5"/>
        <v>0</v>
      </c>
      <c r="AG9" s="32">
        <v>2000</v>
      </c>
      <c r="AH9" s="32">
        <f t="shared" si="6"/>
        <v>0</v>
      </c>
      <c r="AI9" s="32">
        <v>2000</v>
      </c>
      <c r="AJ9" s="32">
        <f t="shared" si="12"/>
        <v>40</v>
      </c>
      <c r="AK9" s="32">
        <f t="shared" si="13"/>
        <v>1960</v>
      </c>
      <c r="AL9" s="34">
        <v>1960</v>
      </c>
      <c r="AM9" s="34">
        <f>1960*0.2345</f>
        <v>459.61999999999995</v>
      </c>
      <c r="AN9" s="34">
        <f t="shared" si="10"/>
        <v>1500.38</v>
      </c>
      <c r="AO9" s="34">
        <v>1500</v>
      </c>
      <c r="AP9" s="34">
        <v>0</v>
      </c>
      <c r="AQ9" s="34">
        <f t="shared" si="7"/>
        <v>1500</v>
      </c>
      <c r="AR9" s="34">
        <v>1500</v>
      </c>
      <c r="AS9" s="34">
        <v>0</v>
      </c>
      <c r="AT9" s="34">
        <f t="shared" si="8"/>
        <v>1500</v>
      </c>
      <c r="AU9" s="35">
        <v>1500</v>
      </c>
      <c r="AV9" s="35">
        <v>0</v>
      </c>
      <c r="AW9" s="35">
        <f t="shared" si="9"/>
        <v>1500</v>
      </c>
      <c r="AX9" s="36">
        <v>1500</v>
      </c>
      <c r="AY9" s="36"/>
      <c r="AZ9" s="36">
        <v>0</v>
      </c>
      <c r="BA9" s="36">
        <f t="shared" si="1"/>
        <v>1500</v>
      </c>
      <c r="BC9" s="37">
        <f t="shared" si="2"/>
        <v>1.328870690250873E-3</v>
      </c>
    </row>
    <row r="10" spans="1:56" x14ac:dyDescent="0.2">
      <c r="A10" s="1" t="s">
        <v>58</v>
      </c>
      <c r="B10" s="2">
        <v>334314</v>
      </c>
      <c r="C10" s="27" t="s">
        <v>68</v>
      </c>
      <c r="D10" s="28">
        <v>1900</v>
      </c>
      <c r="E10" s="28">
        <v>1900</v>
      </c>
      <c r="F10" s="28">
        <v>1900</v>
      </c>
      <c r="G10" s="28">
        <v>2500</v>
      </c>
      <c r="H10" s="28">
        <v>3000</v>
      </c>
      <c r="I10" s="28"/>
      <c r="J10" s="28">
        <v>3500</v>
      </c>
      <c r="K10" s="28">
        <v>4000</v>
      </c>
      <c r="L10" s="28"/>
      <c r="M10" s="28"/>
      <c r="N10" s="28">
        <v>4000</v>
      </c>
      <c r="O10" s="28"/>
      <c r="P10" s="28">
        <v>4000</v>
      </c>
      <c r="Q10" s="28">
        <v>4000</v>
      </c>
      <c r="R10" s="28"/>
      <c r="S10" s="28">
        <v>4750</v>
      </c>
      <c r="T10" s="29"/>
      <c r="U10" s="29">
        <v>4750</v>
      </c>
      <c r="V10" s="29">
        <f t="shared" si="11"/>
        <v>0</v>
      </c>
      <c r="W10" s="28">
        <v>4750</v>
      </c>
      <c r="X10" s="28">
        <f t="shared" si="0"/>
        <v>0</v>
      </c>
      <c r="Y10" s="31">
        <v>4750</v>
      </c>
      <c r="Z10" s="31">
        <f t="shared" si="3"/>
        <v>0</v>
      </c>
      <c r="AA10" s="31">
        <v>4750</v>
      </c>
      <c r="AB10" s="32">
        <f t="shared" si="4"/>
        <v>0</v>
      </c>
      <c r="AC10" s="32">
        <v>4750</v>
      </c>
      <c r="AD10" s="33">
        <f t="shared" si="14"/>
        <v>0</v>
      </c>
      <c r="AE10" s="32">
        <v>4750</v>
      </c>
      <c r="AF10" s="32">
        <f t="shared" si="5"/>
        <v>0</v>
      </c>
      <c r="AG10" s="32">
        <v>4750</v>
      </c>
      <c r="AH10" s="32">
        <f t="shared" si="6"/>
        <v>0</v>
      </c>
      <c r="AI10" s="32">
        <v>4750</v>
      </c>
      <c r="AJ10" s="32">
        <f t="shared" si="12"/>
        <v>95</v>
      </c>
      <c r="AK10" s="32">
        <f t="shared" si="13"/>
        <v>4655</v>
      </c>
      <c r="AL10" s="34">
        <v>4655</v>
      </c>
      <c r="AM10" s="34">
        <f>AL10*0.01</f>
        <v>46.550000000000004</v>
      </c>
      <c r="AN10" s="34">
        <f t="shared" si="10"/>
        <v>4608.45</v>
      </c>
      <c r="AO10" s="34">
        <v>4608</v>
      </c>
      <c r="AP10" s="34">
        <v>-8</v>
      </c>
      <c r="AQ10" s="34">
        <f t="shared" si="7"/>
        <v>4600</v>
      </c>
      <c r="AR10" s="34">
        <v>4600</v>
      </c>
      <c r="AS10" s="34">
        <v>0</v>
      </c>
      <c r="AT10" s="34">
        <f t="shared" si="8"/>
        <v>4600</v>
      </c>
      <c r="AU10" s="35">
        <v>4600</v>
      </c>
      <c r="AV10" s="35">
        <v>0</v>
      </c>
      <c r="AW10" s="35">
        <f t="shared" si="9"/>
        <v>4600</v>
      </c>
      <c r="AX10" s="36">
        <v>4600</v>
      </c>
      <c r="AY10" s="36"/>
      <c r="AZ10" s="36">
        <v>0</v>
      </c>
      <c r="BA10" s="36">
        <f t="shared" si="1"/>
        <v>4600</v>
      </c>
      <c r="BC10" s="37">
        <f t="shared" si="2"/>
        <v>4.0752034501026777E-3</v>
      </c>
    </row>
    <row r="11" spans="1:56" x14ac:dyDescent="0.2">
      <c r="A11" s="1" t="s">
        <v>58</v>
      </c>
      <c r="B11" s="2">
        <v>334106</v>
      </c>
      <c r="C11" s="27" t="s">
        <v>69</v>
      </c>
      <c r="D11" s="28"/>
      <c r="E11" s="28"/>
      <c r="F11" s="28"/>
      <c r="G11" s="28"/>
      <c r="H11" s="28"/>
      <c r="I11" s="28"/>
      <c r="J11" s="28"/>
      <c r="K11" s="28">
        <v>10000</v>
      </c>
      <c r="L11" s="28">
        <v>5000</v>
      </c>
      <c r="M11" s="28"/>
      <c r="N11" s="28">
        <v>15000</v>
      </c>
      <c r="O11" s="28"/>
      <c r="P11" s="28">
        <v>20000</v>
      </c>
      <c r="Q11" s="28">
        <v>20000</v>
      </c>
      <c r="R11" s="28"/>
      <c r="S11" s="28">
        <v>25000</v>
      </c>
      <c r="T11" s="29"/>
      <c r="U11" s="29">
        <v>25000</v>
      </c>
      <c r="V11" s="29">
        <f t="shared" si="11"/>
        <v>0</v>
      </c>
      <c r="W11" s="28">
        <v>25000</v>
      </c>
      <c r="X11" s="28">
        <f t="shared" si="0"/>
        <v>0</v>
      </c>
      <c r="Y11" s="31">
        <v>25000</v>
      </c>
      <c r="Z11" s="31">
        <f t="shared" si="3"/>
        <v>0</v>
      </c>
      <c r="AA11" s="31">
        <v>25000</v>
      </c>
      <c r="AB11" s="32">
        <f t="shared" si="4"/>
        <v>0</v>
      </c>
      <c r="AC11" s="32">
        <v>25000</v>
      </c>
      <c r="AD11" s="33">
        <f t="shared" si="14"/>
        <v>0</v>
      </c>
      <c r="AE11" s="32">
        <f>40000-7500</f>
        <v>32500</v>
      </c>
      <c r="AF11" s="32">
        <f t="shared" si="5"/>
        <v>7500</v>
      </c>
      <c r="AG11" s="32">
        <f>40000-7500</f>
        <v>32500</v>
      </c>
      <c r="AH11" s="32">
        <f t="shared" si="6"/>
        <v>0</v>
      </c>
      <c r="AI11" s="32">
        <f>40000-7500</f>
        <v>32500</v>
      </c>
      <c r="AJ11" s="32">
        <f t="shared" si="12"/>
        <v>650</v>
      </c>
      <c r="AK11" s="32">
        <f t="shared" si="13"/>
        <v>31850</v>
      </c>
      <c r="AL11" s="34">
        <v>31850</v>
      </c>
      <c r="AM11" s="34">
        <f>AL11*0.01</f>
        <v>318.5</v>
      </c>
      <c r="AN11" s="34">
        <f t="shared" si="10"/>
        <v>31531.5</v>
      </c>
      <c r="AO11" s="34">
        <v>31532</v>
      </c>
      <c r="AP11" s="34">
        <v>0</v>
      </c>
      <c r="AQ11" s="34">
        <f t="shared" si="7"/>
        <v>31532</v>
      </c>
      <c r="AR11" s="34">
        <v>31532</v>
      </c>
      <c r="AS11" s="34">
        <v>0</v>
      </c>
      <c r="AT11" s="34">
        <f t="shared" si="8"/>
        <v>31532</v>
      </c>
      <c r="AU11" s="35">
        <v>31532</v>
      </c>
      <c r="AV11" s="35">
        <v>0</v>
      </c>
      <c r="AW11" s="35">
        <f t="shared" si="9"/>
        <v>31532</v>
      </c>
      <c r="AX11" s="36">
        <v>31532</v>
      </c>
      <c r="AY11" s="36"/>
      <c r="AZ11" s="36">
        <v>7532</v>
      </c>
      <c r="BA11" s="36">
        <f t="shared" si="1"/>
        <v>24000</v>
      </c>
      <c r="BB11" s="1" t="s">
        <v>70</v>
      </c>
      <c r="BC11" s="37">
        <f t="shared" si="2"/>
        <v>2.1261931044013967E-2</v>
      </c>
    </row>
    <row r="12" spans="1:56" x14ac:dyDescent="0.2">
      <c r="A12" s="1" t="s">
        <v>58</v>
      </c>
      <c r="B12" s="2">
        <v>334359</v>
      </c>
      <c r="C12" s="27" t="s">
        <v>71</v>
      </c>
      <c r="D12" s="28">
        <v>11055</v>
      </c>
      <c r="E12" s="28">
        <v>11055</v>
      </c>
      <c r="F12" s="28">
        <v>11365</v>
      </c>
      <c r="G12" s="28">
        <v>11694.58</v>
      </c>
      <c r="H12" s="28">
        <v>12034</v>
      </c>
      <c r="I12" s="28"/>
      <c r="J12" s="28">
        <v>12840</v>
      </c>
      <c r="K12" s="28">
        <v>13840</v>
      </c>
      <c r="L12" s="28"/>
      <c r="M12" s="28"/>
      <c r="N12" s="28">
        <v>14532</v>
      </c>
      <c r="O12" s="28"/>
      <c r="P12" s="28">
        <v>14500</v>
      </c>
      <c r="Q12" s="28">
        <v>14500</v>
      </c>
      <c r="R12" s="28"/>
      <c r="S12" s="28">
        <v>14500</v>
      </c>
      <c r="T12" s="29"/>
      <c r="U12" s="29">
        <v>14500</v>
      </c>
      <c r="V12" s="29">
        <f t="shared" si="11"/>
        <v>0</v>
      </c>
      <c r="W12" s="28">
        <v>14500</v>
      </c>
      <c r="X12" s="28">
        <f t="shared" si="0"/>
        <v>0</v>
      </c>
      <c r="Y12" s="31">
        <v>14500</v>
      </c>
      <c r="Z12" s="31">
        <f t="shared" si="3"/>
        <v>0</v>
      </c>
      <c r="AA12" s="31">
        <v>14500</v>
      </c>
      <c r="AB12" s="31">
        <f t="shared" si="4"/>
        <v>0</v>
      </c>
      <c r="AC12" s="31">
        <v>14500</v>
      </c>
      <c r="AD12" s="31">
        <f t="shared" si="14"/>
        <v>0</v>
      </c>
      <c r="AE12" s="31">
        <v>14500</v>
      </c>
      <c r="AF12" s="31">
        <f t="shared" si="5"/>
        <v>0</v>
      </c>
      <c r="AG12" s="31">
        <v>14500</v>
      </c>
      <c r="AH12" s="32">
        <f t="shared" si="6"/>
        <v>0</v>
      </c>
      <c r="AI12" s="31">
        <v>14500</v>
      </c>
      <c r="AJ12" s="32">
        <f t="shared" si="12"/>
        <v>290</v>
      </c>
      <c r="AK12" s="32">
        <f t="shared" si="13"/>
        <v>14210</v>
      </c>
      <c r="AL12" s="34">
        <v>14210</v>
      </c>
      <c r="AM12" s="34">
        <f>AL12*0.01</f>
        <v>142.1</v>
      </c>
      <c r="AN12" s="34">
        <f t="shared" si="10"/>
        <v>14067.9</v>
      </c>
      <c r="AO12" s="34">
        <v>14068</v>
      </c>
      <c r="AP12" s="34">
        <v>0</v>
      </c>
      <c r="AQ12" s="34">
        <f t="shared" si="7"/>
        <v>14068</v>
      </c>
      <c r="AR12" s="34">
        <v>14068</v>
      </c>
      <c r="AS12" s="34">
        <v>0</v>
      </c>
      <c r="AT12" s="34">
        <f t="shared" si="8"/>
        <v>14068</v>
      </c>
      <c r="AU12" s="35">
        <v>14068</v>
      </c>
      <c r="AV12" s="35">
        <v>0</v>
      </c>
      <c r="AW12" s="35">
        <f t="shared" si="9"/>
        <v>14068</v>
      </c>
      <c r="AX12" s="36">
        <v>14068</v>
      </c>
      <c r="AY12" s="36"/>
      <c r="AZ12" s="36">
        <v>0</v>
      </c>
      <c r="BA12" s="36">
        <f t="shared" si="1"/>
        <v>14068</v>
      </c>
      <c r="BC12" s="37">
        <f t="shared" si="2"/>
        <v>1.2463035246966188E-2</v>
      </c>
    </row>
    <row r="13" spans="1:56" x14ac:dyDescent="0.2">
      <c r="A13" s="1" t="s">
        <v>58</v>
      </c>
      <c r="B13" s="2">
        <v>334428</v>
      </c>
      <c r="C13" s="27" t="s">
        <v>72</v>
      </c>
      <c r="K13" s="28"/>
      <c r="L13" s="28"/>
      <c r="M13" s="28"/>
      <c r="N13" s="28"/>
      <c r="O13" s="28"/>
      <c r="P13" s="28"/>
      <c r="Q13" s="28"/>
      <c r="R13" s="28"/>
      <c r="S13" s="29">
        <v>1000</v>
      </c>
      <c r="T13" s="29"/>
      <c r="U13" s="29">
        <v>1000</v>
      </c>
      <c r="V13" s="29">
        <f t="shared" si="11"/>
        <v>0</v>
      </c>
      <c r="W13" s="28">
        <v>1000</v>
      </c>
      <c r="X13" s="28">
        <f t="shared" si="0"/>
        <v>0</v>
      </c>
      <c r="Y13" s="31">
        <v>1000</v>
      </c>
      <c r="Z13" s="31">
        <f t="shared" si="3"/>
        <v>0</v>
      </c>
      <c r="AA13" s="31">
        <v>1000</v>
      </c>
      <c r="AB13" s="52">
        <f t="shared" si="4"/>
        <v>0</v>
      </c>
      <c r="AC13" s="52">
        <v>1000</v>
      </c>
      <c r="AD13" s="52">
        <f t="shared" si="14"/>
        <v>0</v>
      </c>
      <c r="AE13" s="52">
        <f>2500-750</f>
        <v>1750</v>
      </c>
      <c r="AF13" s="52">
        <f t="shared" si="5"/>
        <v>750</v>
      </c>
      <c r="AG13" s="52">
        <v>2000</v>
      </c>
      <c r="AH13" s="32">
        <f t="shared" si="6"/>
        <v>250</v>
      </c>
      <c r="AI13" s="52">
        <v>2000</v>
      </c>
      <c r="AJ13" s="32">
        <f t="shared" si="12"/>
        <v>40</v>
      </c>
      <c r="AK13" s="32">
        <f t="shared" si="13"/>
        <v>1960</v>
      </c>
      <c r="AL13" s="34">
        <v>1960</v>
      </c>
      <c r="AM13" s="34">
        <f>AL13*0.01</f>
        <v>19.600000000000001</v>
      </c>
      <c r="AN13" s="34">
        <f t="shared" si="10"/>
        <v>1940.4</v>
      </c>
      <c r="AO13" s="34">
        <v>1940</v>
      </c>
      <c r="AP13" s="34">
        <v>0</v>
      </c>
      <c r="AQ13" s="34">
        <f t="shared" si="7"/>
        <v>1940</v>
      </c>
      <c r="AR13" s="34">
        <v>1940</v>
      </c>
      <c r="AS13" s="34">
        <v>0</v>
      </c>
      <c r="AT13" s="34">
        <f t="shared" si="8"/>
        <v>1940</v>
      </c>
      <c r="AU13" s="35">
        <v>1940</v>
      </c>
      <c r="AV13" s="35">
        <v>0</v>
      </c>
      <c r="AW13" s="35">
        <f t="shared" si="9"/>
        <v>1940</v>
      </c>
      <c r="AX13" s="36">
        <v>1940</v>
      </c>
      <c r="AY13" s="36"/>
      <c r="AZ13" s="36">
        <v>0</v>
      </c>
      <c r="BA13" s="36">
        <f t="shared" si="1"/>
        <v>1940</v>
      </c>
      <c r="BC13" s="37">
        <f t="shared" si="2"/>
        <v>1.7186727593911293E-3</v>
      </c>
    </row>
    <row r="14" spans="1:56" x14ac:dyDescent="0.2">
      <c r="B14" s="2">
        <v>334107</v>
      </c>
      <c r="C14" s="53" t="s">
        <v>73</v>
      </c>
      <c r="K14" s="54"/>
      <c r="L14" s="54"/>
      <c r="M14" s="54"/>
      <c r="N14" s="54"/>
      <c r="O14" s="54"/>
      <c r="P14" s="54"/>
      <c r="Q14" s="54"/>
      <c r="R14" s="54"/>
      <c r="S14" s="30"/>
      <c r="T14" s="30"/>
      <c r="U14" s="30"/>
      <c r="V14" s="30"/>
      <c r="W14" s="54"/>
      <c r="X14" s="54"/>
      <c r="Y14" s="31"/>
      <c r="Z14" s="52"/>
      <c r="AA14" s="52"/>
      <c r="AB14" s="52"/>
      <c r="AC14" s="52"/>
      <c r="AD14" s="52"/>
      <c r="AE14" s="52"/>
      <c r="AF14" s="52"/>
      <c r="AG14" s="52"/>
      <c r="AH14" s="32"/>
      <c r="AI14" s="52">
        <v>4000</v>
      </c>
      <c r="AJ14" s="32">
        <v>0</v>
      </c>
      <c r="AK14" s="32">
        <f t="shared" si="13"/>
        <v>4000</v>
      </c>
      <c r="AL14" s="34">
        <v>4000</v>
      </c>
      <c r="AM14" s="34">
        <f>AL14*0.01</f>
        <v>40</v>
      </c>
      <c r="AN14" s="34">
        <f t="shared" si="10"/>
        <v>3960</v>
      </c>
      <c r="AO14" s="34">
        <v>3960</v>
      </c>
      <c r="AP14" s="34">
        <v>0</v>
      </c>
      <c r="AQ14" s="34">
        <f>AO14+AP14</f>
        <v>3960</v>
      </c>
      <c r="AR14" s="34">
        <v>3960</v>
      </c>
      <c r="AS14" s="34">
        <v>0</v>
      </c>
      <c r="AT14" s="34">
        <f>AR14+AS14</f>
        <v>3960</v>
      </c>
      <c r="AU14" s="35">
        <v>3960</v>
      </c>
      <c r="AV14" s="35">
        <v>0</v>
      </c>
      <c r="AW14" s="35">
        <f>AU14+AV14</f>
        <v>3960</v>
      </c>
      <c r="AX14" s="36">
        <v>3960</v>
      </c>
      <c r="AY14" s="36"/>
      <c r="AZ14" s="36">
        <v>0</v>
      </c>
      <c r="BA14" s="36">
        <f t="shared" si="1"/>
        <v>3960</v>
      </c>
      <c r="BC14" s="37">
        <f t="shared" si="2"/>
        <v>3.5082186222623051E-3</v>
      </c>
    </row>
    <row r="15" spans="1:56" hidden="1" x14ac:dyDescent="0.2">
      <c r="B15" s="55">
        <v>334114</v>
      </c>
      <c r="C15" s="56" t="s">
        <v>74</v>
      </c>
      <c r="D15" s="57"/>
      <c r="E15" s="57"/>
      <c r="F15" s="57"/>
      <c r="G15" s="57"/>
      <c r="H15" s="57"/>
      <c r="I15" s="57"/>
      <c r="J15" s="57"/>
      <c r="K15" s="57"/>
      <c r="L15" s="57"/>
      <c r="M15" s="57">
        <v>6000</v>
      </c>
      <c r="N15" s="57">
        <v>26500</v>
      </c>
      <c r="O15" s="57"/>
      <c r="P15" s="57">
        <v>28000</v>
      </c>
      <c r="Q15" s="57">
        <v>28000</v>
      </c>
      <c r="R15" s="57"/>
      <c r="S15" s="57">
        <v>23000</v>
      </c>
      <c r="T15" s="30"/>
      <c r="U15" s="30">
        <v>0</v>
      </c>
      <c r="V15" s="30">
        <v>0</v>
      </c>
      <c r="W15" s="54">
        <v>0</v>
      </c>
      <c r="X15" s="54" t="e">
        <f>+W15-#REF!</f>
        <v>#REF!</v>
      </c>
      <c r="Y15" s="31">
        <v>0</v>
      </c>
      <c r="Z15" s="52">
        <f t="shared" si="3"/>
        <v>0</v>
      </c>
      <c r="AA15" s="52">
        <v>0</v>
      </c>
      <c r="AB15" s="58">
        <f t="shared" si="4"/>
        <v>0</v>
      </c>
      <c r="AC15" s="59">
        <v>0</v>
      </c>
      <c r="AD15" s="59">
        <f t="shared" si="14"/>
        <v>0</v>
      </c>
      <c r="AE15" s="58">
        <v>0</v>
      </c>
      <c r="AF15" s="59">
        <f t="shared" ref="AF15" si="15">AC15-AE15</f>
        <v>0</v>
      </c>
      <c r="AG15" s="58">
        <v>0</v>
      </c>
      <c r="AH15" s="59">
        <f t="shared" ref="AH15" si="16">AE15-AG15</f>
        <v>0</v>
      </c>
      <c r="AI15" s="58">
        <v>0</v>
      </c>
      <c r="AJ15" s="32">
        <f>AI15*0.01</f>
        <v>0</v>
      </c>
      <c r="AK15" s="32"/>
      <c r="AL15" s="34">
        <v>0</v>
      </c>
      <c r="AM15" s="34"/>
      <c r="AN15" s="34"/>
      <c r="AO15" s="34"/>
      <c r="AP15" s="34"/>
      <c r="AQ15" s="34"/>
      <c r="AR15" s="34"/>
      <c r="AS15" s="34"/>
      <c r="AT15" s="34"/>
      <c r="AU15" s="35"/>
      <c r="AV15" s="35"/>
      <c r="AW15" s="35"/>
      <c r="AX15" s="36"/>
      <c r="AY15" s="36"/>
      <c r="AZ15" s="36"/>
      <c r="BA15" s="36">
        <f>AX15-AZ15</f>
        <v>0</v>
      </c>
      <c r="BC15" s="37">
        <f t="shared" si="2"/>
        <v>0</v>
      </c>
      <c r="BD15" s="60">
        <f>BA15/BA85</f>
        <v>0</v>
      </c>
    </row>
    <row r="16" spans="1:56" s="61" customFormat="1" x14ac:dyDescent="0.2">
      <c r="B16" s="62"/>
      <c r="C16" s="63" t="s">
        <v>75</v>
      </c>
      <c r="D16" s="31">
        <f t="shared" ref="D16:W16" si="17">SUM(D4:D15)</f>
        <v>128055</v>
      </c>
      <c r="E16" s="31">
        <f t="shared" si="17"/>
        <v>130055</v>
      </c>
      <c r="F16" s="31">
        <f t="shared" si="17"/>
        <v>130165</v>
      </c>
      <c r="G16" s="31">
        <f t="shared" si="17"/>
        <v>139094.57999999999</v>
      </c>
      <c r="H16" s="31">
        <f t="shared" si="17"/>
        <v>146334</v>
      </c>
      <c r="I16" s="31">
        <f t="shared" si="17"/>
        <v>0</v>
      </c>
      <c r="J16" s="31">
        <f t="shared" si="17"/>
        <v>155136.16</v>
      </c>
      <c r="K16" s="31">
        <f t="shared" si="17"/>
        <v>172681</v>
      </c>
      <c r="L16" s="31">
        <f t="shared" si="17"/>
        <v>5000</v>
      </c>
      <c r="M16" s="31">
        <f t="shared" si="17"/>
        <v>6000</v>
      </c>
      <c r="N16" s="31">
        <f t="shared" si="17"/>
        <v>190432</v>
      </c>
      <c r="O16" s="31">
        <f t="shared" si="17"/>
        <v>0</v>
      </c>
      <c r="P16" s="31">
        <f t="shared" si="17"/>
        <v>211855</v>
      </c>
      <c r="Q16" s="31">
        <f t="shared" si="17"/>
        <v>235300</v>
      </c>
      <c r="R16" s="31">
        <f t="shared" si="17"/>
        <v>0</v>
      </c>
      <c r="S16" s="31">
        <f t="shared" si="17"/>
        <v>233170</v>
      </c>
      <c r="T16" s="31">
        <f t="shared" si="17"/>
        <v>0</v>
      </c>
      <c r="U16" s="31">
        <f t="shared" si="17"/>
        <v>206220</v>
      </c>
      <c r="V16" s="31">
        <f t="shared" si="17"/>
        <v>0</v>
      </c>
      <c r="W16" s="31">
        <f t="shared" si="17"/>
        <v>203220</v>
      </c>
      <c r="X16" s="33">
        <f>SUM(X4:X13)</f>
        <v>-3000</v>
      </c>
      <c r="Y16" s="64">
        <f t="shared" ref="Y16:AE16" si="18">SUM(Y4:Y15)</f>
        <v>203220</v>
      </c>
      <c r="Z16" s="64">
        <f t="shared" si="18"/>
        <v>0</v>
      </c>
      <c r="AA16" s="59">
        <f t="shared" si="18"/>
        <v>203220</v>
      </c>
      <c r="AB16" s="64">
        <f t="shared" si="18"/>
        <v>0</v>
      </c>
      <c r="AC16" s="64">
        <f t="shared" si="18"/>
        <v>204512</v>
      </c>
      <c r="AD16" s="64">
        <f t="shared" si="18"/>
        <v>1292</v>
      </c>
      <c r="AE16" s="64">
        <f t="shared" si="18"/>
        <v>219262</v>
      </c>
      <c r="AF16" s="64">
        <f>SUM(AF4:AF15)+2500</f>
        <v>15750</v>
      </c>
      <c r="AG16" s="64">
        <f t="shared" ref="AG16:AN16" si="19">SUM(AG4:AG15)</f>
        <v>227712</v>
      </c>
      <c r="AH16" s="64">
        <f t="shared" si="19"/>
        <v>8450</v>
      </c>
      <c r="AI16" s="64">
        <f t="shared" si="19"/>
        <v>231712</v>
      </c>
      <c r="AJ16" s="64">
        <f t="shared" si="19"/>
        <v>4554.24</v>
      </c>
      <c r="AK16" s="64">
        <f t="shared" si="19"/>
        <v>227157.76000000001</v>
      </c>
      <c r="AL16" s="65">
        <f t="shared" si="19"/>
        <v>227159</v>
      </c>
      <c r="AM16" s="65">
        <f t="shared" si="19"/>
        <v>2711.61</v>
      </c>
      <c r="AN16" s="65">
        <f t="shared" si="19"/>
        <v>224447.39000000004</v>
      </c>
      <c r="AO16" s="66">
        <f t="shared" ref="AO16:AT16" si="20">SUM(AO4:AO14)</f>
        <v>224447</v>
      </c>
      <c r="AP16" s="66">
        <f t="shared" si="20"/>
        <v>3776</v>
      </c>
      <c r="AQ16" s="66">
        <f t="shared" si="20"/>
        <v>228223</v>
      </c>
      <c r="AR16" s="66">
        <f t="shared" si="20"/>
        <v>228223</v>
      </c>
      <c r="AS16" s="66">
        <f t="shared" si="20"/>
        <v>0</v>
      </c>
      <c r="AT16" s="66">
        <f t="shared" si="20"/>
        <v>228223</v>
      </c>
      <c r="AU16" s="67">
        <f>SUM(AU4:AU14)</f>
        <v>228223</v>
      </c>
      <c r="AV16" s="68">
        <f t="shared" ref="AV16:AW16" si="21">SUM(AV4:AV14)</f>
        <v>0</v>
      </c>
      <c r="AW16" s="67">
        <f t="shared" si="21"/>
        <v>228223</v>
      </c>
      <c r="AX16" s="69">
        <f>SUM(AX4:AX14)</f>
        <v>228223</v>
      </c>
      <c r="AY16" s="69">
        <f t="shared" ref="AY16:AZ16" si="22">SUM(AY4:AY14)</f>
        <v>50000</v>
      </c>
      <c r="AZ16" s="69">
        <f t="shared" si="22"/>
        <v>60932</v>
      </c>
      <c r="BA16" s="69">
        <f>SUM(BA4:BA14)</f>
        <v>217291</v>
      </c>
      <c r="BC16" s="70">
        <f>BA16/$BA$74</f>
        <v>0.19250109410353497</v>
      </c>
    </row>
    <row r="17" spans="1:56" x14ac:dyDescent="0.2">
      <c r="C17" s="71"/>
      <c r="S17" s="51"/>
      <c r="T17" s="50"/>
      <c r="U17" s="50"/>
      <c r="V17" s="50"/>
      <c r="W17" s="22"/>
      <c r="X17" s="72"/>
      <c r="Y17" s="73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1"/>
      <c r="AX17" s="25"/>
      <c r="AY17" s="25"/>
      <c r="AZ17" s="25"/>
      <c r="BA17" s="25"/>
      <c r="BC17" s="25"/>
    </row>
    <row r="18" spans="1:56" x14ac:dyDescent="0.2">
      <c r="C18" s="74" t="s">
        <v>76</v>
      </c>
      <c r="S18" s="51"/>
      <c r="T18" s="29"/>
      <c r="U18" s="29"/>
      <c r="V18" s="29"/>
      <c r="W18" s="75"/>
      <c r="X18" s="76"/>
      <c r="Y18" s="77"/>
      <c r="Z18" s="78"/>
      <c r="AA18" s="78"/>
      <c r="AB18" s="78"/>
      <c r="AC18" s="78"/>
      <c r="AD18" s="78"/>
      <c r="AE18" s="4"/>
      <c r="AF18" s="4"/>
      <c r="AG18" s="4"/>
      <c r="AH18" s="4"/>
      <c r="AI18" s="4"/>
      <c r="AJ18" s="4"/>
      <c r="AK18" s="4"/>
      <c r="AL18" s="1"/>
      <c r="AX18" s="25"/>
      <c r="AY18" s="25"/>
      <c r="AZ18" s="25"/>
      <c r="BA18" s="25"/>
      <c r="BC18" s="25"/>
    </row>
    <row r="19" spans="1:56" x14ac:dyDescent="0.2">
      <c r="A19" s="1" t="s">
        <v>58</v>
      </c>
      <c r="B19" s="2">
        <v>334309</v>
      </c>
      <c r="C19" s="27" t="s">
        <v>77</v>
      </c>
      <c r="D19" s="28">
        <v>35000</v>
      </c>
      <c r="E19" s="28">
        <v>40000</v>
      </c>
      <c r="F19" s="28">
        <v>40000</v>
      </c>
      <c r="G19" s="28">
        <v>40000</v>
      </c>
      <c r="H19" s="28">
        <v>40000</v>
      </c>
      <c r="I19" s="28"/>
      <c r="J19" s="28">
        <v>40000</v>
      </c>
      <c r="K19" s="28">
        <v>42000</v>
      </c>
      <c r="L19" s="28"/>
      <c r="M19" s="28"/>
      <c r="N19" s="28">
        <v>43000</v>
      </c>
      <c r="O19" s="28"/>
      <c r="P19" s="28">
        <v>44000</v>
      </c>
      <c r="Q19" s="28">
        <v>44000</v>
      </c>
      <c r="R19" s="28"/>
      <c r="S19" s="28">
        <v>44000</v>
      </c>
      <c r="T19" s="29"/>
      <c r="U19" s="29">
        <v>44000</v>
      </c>
      <c r="V19" s="29">
        <f>+U19-S19</f>
        <v>0</v>
      </c>
      <c r="W19" s="28">
        <v>44000</v>
      </c>
      <c r="X19" s="28">
        <f t="shared" ref="X19:X25" si="23">+W19-U19</f>
        <v>0</v>
      </c>
      <c r="Y19" s="79">
        <v>44000</v>
      </c>
      <c r="Z19" s="79">
        <f t="shared" si="3"/>
        <v>0</v>
      </c>
      <c r="AA19" s="4">
        <v>44000</v>
      </c>
      <c r="AB19" s="32">
        <f>AA19-Y19</f>
        <v>0</v>
      </c>
      <c r="AC19" s="32">
        <v>44852</v>
      </c>
      <c r="AD19" s="33">
        <f>AC19-AA19</f>
        <v>852</v>
      </c>
      <c r="AE19" s="32">
        <v>44852</v>
      </c>
      <c r="AF19" s="31">
        <f>AE19-AC19</f>
        <v>0</v>
      </c>
      <c r="AG19" s="32">
        <v>44852</v>
      </c>
      <c r="AH19" s="31">
        <f>AG19-AE19</f>
        <v>0</v>
      </c>
      <c r="AI19" s="32">
        <v>45000</v>
      </c>
      <c r="AJ19" s="31">
        <f>AG19*0.02</f>
        <v>897.04</v>
      </c>
      <c r="AK19" s="31">
        <f>AG19-AJ19</f>
        <v>43954.96</v>
      </c>
      <c r="AL19" s="34">
        <v>43955</v>
      </c>
      <c r="AM19" s="34">
        <f>AL19*0.01</f>
        <v>439.55</v>
      </c>
      <c r="AN19" s="34">
        <f t="shared" ref="AN19:AN25" si="24">AL19-AM19</f>
        <v>43515.45</v>
      </c>
      <c r="AO19" s="34">
        <v>43515</v>
      </c>
      <c r="AP19" s="34">
        <v>743</v>
      </c>
      <c r="AQ19" s="34">
        <f>AO19+AP19</f>
        <v>44258</v>
      </c>
      <c r="AR19" s="34">
        <v>44258</v>
      </c>
      <c r="AS19" s="34">
        <v>0</v>
      </c>
      <c r="AT19" s="34">
        <f>AR19+AS19</f>
        <v>44258</v>
      </c>
      <c r="AU19" s="35">
        <v>44258</v>
      </c>
      <c r="AV19" s="35">
        <v>0</v>
      </c>
      <c r="AW19" s="35">
        <f>AU19+AV19</f>
        <v>44258</v>
      </c>
      <c r="AX19" s="36">
        <v>44258</v>
      </c>
      <c r="AY19" s="36"/>
      <c r="AZ19" s="36">
        <v>0</v>
      </c>
      <c r="BA19" s="36">
        <f t="shared" ref="BA19:BA25" si="25">AX19+AY19-AZ19</f>
        <v>44258</v>
      </c>
      <c r="BC19" s="37">
        <f>BA19/$BA$74</f>
        <v>3.9208772672748762E-2</v>
      </c>
    </row>
    <row r="20" spans="1:56" x14ac:dyDescent="0.2">
      <c r="A20" s="1" t="s">
        <v>58</v>
      </c>
      <c r="B20" s="2">
        <v>334318</v>
      </c>
      <c r="C20" s="27" t="s">
        <v>78</v>
      </c>
      <c r="D20" s="28">
        <v>2000</v>
      </c>
      <c r="E20" s="28">
        <f>2200-200</f>
        <v>2000</v>
      </c>
      <c r="F20" s="28">
        <v>2320</v>
      </c>
      <c r="G20" s="28">
        <v>2320</v>
      </c>
      <c r="H20" s="28">
        <v>2320</v>
      </c>
      <c r="I20" s="28"/>
      <c r="J20" s="28">
        <v>2320</v>
      </c>
      <c r="K20" s="28">
        <v>2320</v>
      </c>
      <c r="L20" s="28"/>
      <c r="M20" s="28"/>
      <c r="N20" s="28">
        <v>2500</v>
      </c>
      <c r="O20" s="28"/>
      <c r="P20" s="28">
        <v>5500</v>
      </c>
      <c r="Q20" s="28">
        <v>5500</v>
      </c>
      <c r="R20" s="28"/>
      <c r="S20" s="28">
        <v>5500</v>
      </c>
      <c r="T20" s="29"/>
      <c r="U20" s="29">
        <v>5500</v>
      </c>
      <c r="V20" s="29">
        <f>+U20-S20</f>
        <v>0</v>
      </c>
      <c r="W20" s="28">
        <v>5500</v>
      </c>
      <c r="X20" s="28">
        <f t="shared" si="23"/>
        <v>0</v>
      </c>
      <c r="Y20" s="32">
        <v>5500</v>
      </c>
      <c r="Z20" s="32">
        <f t="shared" si="3"/>
        <v>0</v>
      </c>
      <c r="AA20" s="33">
        <v>5500</v>
      </c>
      <c r="AB20" s="32">
        <f t="shared" ref="AB20:AB25" si="26">AA20-Y20</f>
        <v>0</v>
      </c>
      <c r="AC20" s="32">
        <v>5500</v>
      </c>
      <c r="AD20" s="80">
        <f t="shared" ref="AD20:AD25" si="27">AC20-AA20</f>
        <v>0</v>
      </c>
      <c r="AE20" s="32">
        <v>5500</v>
      </c>
      <c r="AF20" s="32">
        <f t="shared" ref="AF20:AF24" si="28">AE20-AC20</f>
        <v>0</v>
      </c>
      <c r="AG20" s="32">
        <v>5500</v>
      </c>
      <c r="AH20" s="31">
        <f t="shared" ref="AH20:AH25" si="29">AG20-AE20</f>
        <v>0</v>
      </c>
      <c r="AI20" s="32">
        <v>5500</v>
      </c>
      <c r="AJ20" s="31">
        <v>0</v>
      </c>
      <c r="AK20" s="31">
        <v>500</v>
      </c>
      <c r="AL20" s="34">
        <v>500</v>
      </c>
      <c r="AM20" s="34">
        <v>0</v>
      </c>
      <c r="AN20" s="34">
        <f t="shared" si="24"/>
        <v>500</v>
      </c>
      <c r="AO20" s="34">
        <v>500</v>
      </c>
      <c r="AP20" s="34">
        <v>0</v>
      </c>
      <c r="AQ20" s="34">
        <f t="shared" ref="AQ20:AQ25" si="30">AO20+AP20</f>
        <v>500</v>
      </c>
      <c r="AR20" s="34">
        <v>500</v>
      </c>
      <c r="AS20" s="34">
        <v>0</v>
      </c>
      <c r="AT20" s="34">
        <f t="shared" ref="AT20:AT25" si="31">AR20+AS20</f>
        <v>500</v>
      </c>
      <c r="AU20" s="35">
        <v>500</v>
      </c>
      <c r="AV20" s="35">
        <v>0</v>
      </c>
      <c r="AW20" s="35">
        <f t="shared" ref="AW20:AW25" si="32">AU20+AV20</f>
        <v>500</v>
      </c>
      <c r="AX20" s="36">
        <v>500</v>
      </c>
      <c r="AY20" s="36">
        <v>0</v>
      </c>
      <c r="AZ20" s="36">
        <v>500</v>
      </c>
      <c r="BA20" s="36">
        <f t="shared" si="25"/>
        <v>0</v>
      </c>
      <c r="BC20" s="37">
        <f t="shared" ref="BC20:BC24" si="33">BA20/$BA$74</f>
        <v>0</v>
      </c>
    </row>
    <row r="21" spans="1:56" x14ac:dyDescent="0.2">
      <c r="A21" s="1" t="s">
        <v>58</v>
      </c>
      <c r="B21" s="2">
        <v>334319</v>
      </c>
      <c r="C21" s="27" t="s">
        <v>79</v>
      </c>
      <c r="D21" s="28">
        <v>45000</v>
      </c>
      <c r="E21" s="28">
        <f>50000-4000</f>
        <v>46000</v>
      </c>
      <c r="F21" s="28">
        <v>56000</v>
      </c>
      <c r="G21" s="28">
        <v>61000</v>
      </c>
      <c r="H21" s="28">
        <v>61000</v>
      </c>
      <c r="I21" s="28">
        <v>14200</v>
      </c>
      <c r="J21" s="28">
        <v>70000</v>
      </c>
      <c r="K21" s="28">
        <v>72000</v>
      </c>
      <c r="L21" s="28"/>
      <c r="M21" s="28"/>
      <c r="N21" s="28">
        <v>75000</v>
      </c>
      <c r="O21" s="28"/>
      <c r="P21" s="28">
        <v>80000</v>
      </c>
      <c r="Q21" s="28">
        <v>80000</v>
      </c>
      <c r="R21" s="28">
        <v>9000</v>
      </c>
      <c r="S21" s="28">
        <v>80000</v>
      </c>
      <c r="T21" s="29">
        <v>9000</v>
      </c>
      <c r="U21" s="29">
        <v>84500</v>
      </c>
      <c r="V21" s="29">
        <v>0</v>
      </c>
      <c r="W21" s="28">
        <v>84500</v>
      </c>
      <c r="X21" s="28">
        <f t="shared" si="23"/>
        <v>0</v>
      </c>
      <c r="Y21" s="31">
        <v>84500</v>
      </c>
      <c r="Z21" s="31">
        <f t="shared" si="3"/>
        <v>0</v>
      </c>
      <c r="AA21" s="33">
        <v>84500</v>
      </c>
      <c r="AB21" s="32">
        <f t="shared" si="26"/>
        <v>0</v>
      </c>
      <c r="AC21" s="32">
        <v>87340</v>
      </c>
      <c r="AD21" s="80">
        <f t="shared" si="27"/>
        <v>2840</v>
      </c>
      <c r="AE21" s="32">
        <v>87340</v>
      </c>
      <c r="AF21" s="32">
        <f t="shared" si="28"/>
        <v>0</v>
      </c>
      <c r="AG21" s="32">
        <v>87340</v>
      </c>
      <c r="AH21" s="31">
        <f t="shared" si="29"/>
        <v>0</v>
      </c>
      <c r="AI21" s="32">
        <v>87340</v>
      </c>
      <c r="AJ21" s="31">
        <f t="shared" ref="AJ21:AJ25" si="34">AG21*0.02</f>
        <v>1746.8</v>
      </c>
      <c r="AK21" s="31">
        <f t="shared" ref="AK21:AK25" si="35">AG21-AJ21</f>
        <v>85593.2</v>
      </c>
      <c r="AL21" s="34">
        <v>85593.2</v>
      </c>
      <c r="AM21" s="34">
        <f>AL21*0.01</f>
        <v>855.93200000000002</v>
      </c>
      <c r="AN21" s="34">
        <f t="shared" si="24"/>
        <v>84737.267999999996</v>
      </c>
      <c r="AO21" s="34">
        <v>84737</v>
      </c>
      <c r="AP21" s="34">
        <v>0</v>
      </c>
      <c r="AQ21" s="34">
        <f t="shared" si="30"/>
        <v>84737</v>
      </c>
      <c r="AR21" s="34">
        <v>84737</v>
      </c>
      <c r="AS21" s="34">
        <v>0</v>
      </c>
      <c r="AT21" s="34">
        <f t="shared" si="31"/>
        <v>84737</v>
      </c>
      <c r="AU21" s="35">
        <v>84737</v>
      </c>
      <c r="AV21" s="35">
        <v>0</v>
      </c>
      <c r="AW21" s="35">
        <f t="shared" si="32"/>
        <v>84737</v>
      </c>
      <c r="AX21" s="36">
        <v>84737</v>
      </c>
      <c r="AY21" s="36"/>
      <c r="AZ21" s="36">
        <v>0</v>
      </c>
      <c r="BA21" s="36">
        <f t="shared" si="25"/>
        <v>84737</v>
      </c>
      <c r="BC21" s="37">
        <f t="shared" si="33"/>
        <v>7.5069677119858819E-2</v>
      </c>
    </row>
    <row r="22" spans="1:56" x14ac:dyDescent="0.2">
      <c r="A22" s="1" t="s">
        <v>58</v>
      </c>
      <c r="B22" s="2">
        <v>334333</v>
      </c>
      <c r="C22" s="27" t="s">
        <v>80</v>
      </c>
      <c r="D22" s="28">
        <v>1700</v>
      </c>
      <c r="E22" s="28">
        <v>1700</v>
      </c>
      <c r="F22" s="28">
        <v>1800</v>
      </c>
      <c r="G22" s="28">
        <v>1800</v>
      </c>
      <c r="H22" s="28">
        <v>1800</v>
      </c>
      <c r="I22" s="28"/>
      <c r="J22" s="28">
        <v>1800</v>
      </c>
      <c r="K22" s="28">
        <v>1800</v>
      </c>
      <c r="L22" s="28"/>
      <c r="M22" s="28"/>
      <c r="N22" s="28">
        <v>1800</v>
      </c>
      <c r="O22" s="28"/>
      <c r="P22" s="28">
        <v>1800</v>
      </c>
      <c r="Q22" s="28">
        <v>1800</v>
      </c>
      <c r="R22" s="28"/>
      <c r="S22" s="28">
        <v>1800</v>
      </c>
      <c r="T22" s="29"/>
      <c r="U22" s="29">
        <v>1800</v>
      </c>
      <c r="V22" s="29">
        <f>+U22-S22</f>
        <v>0</v>
      </c>
      <c r="W22" s="28">
        <v>1800</v>
      </c>
      <c r="X22" s="28">
        <f t="shared" si="23"/>
        <v>0</v>
      </c>
      <c r="Y22" s="31">
        <v>1800</v>
      </c>
      <c r="Z22" s="31">
        <f t="shared" si="3"/>
        <v>0</v>
      </c>
      <c r="AA22" s="33">
        <v>1800</v>
      </c>
      <c r="AB22" s="32">
        <f t="shared" si="26"/>
        <v>0</v>
      </c>
      <c r="AC22" s="32">
        <v>1800</v>
      </c>
      <c r="AD22" s="80">
        <f t="shared" si="27"/>
        <v>0</v>
      </c>
      <c r="AE22" s="32">
        <f>2100-150</f>
        <v>1950</v>
      </c>
      <c r="AF22" s="32">
        <f t="shared" si="28"/>
        <v>150</v>
      </c>
      <c r="AG22" s="32">
        <f>2100-150</f>
        <v>1950</v>
      </c>
      <c r="AH22" s="31">
        <f t="shared" si="29"/>
        <v>0</v>
      </c>
      <c r="AI22" s="32">
        <f>2100-150</f>
        <v>1950</v>
      </c>
      <c r="AJ22" s="31">
        <f t="shared" si="34"/>
        <v>39</v>
      </c>
      <c r="AK22" s="31">
        <f t="shared" si="35"/>
        <v>1911</v>
      </c>
      <c r="AL22" s="34">
        <v>1911</v>
      </c>
      <c r="AM22" s="34">
        <f>AL22*0.01</f>
        <v>19.11</v>
      </c>
      <c r="AN22" s="34">
        <f t="shared" si="24"/>
        <v>1891.89</v>
      </c>
      <c r="AO22" s="34">
        <v>1892</v>
      </c>
      <c r="AP22" s="34">
        <v>0</v>
      </c>
      <c r="AQ22" s="34">
        <f t="shared" si="30"/>
        <v>1892</v>
      </c>
      <c r="AR22" s="34">
        <v>1892</v>
      </c>
      <c r="AS22" s="34">
        <v>0</v>
      </c>
      <c r="AT22" s="34">
        <f t="shared" si="31"/>
        <v>1892</v>
      </c>
      <c r="AU22" s="35">
        <v>1892</v>
      </c>
      <c r="AV22" s="35">
        <v>0</v>
      </c>
      <c r="AW22" s="35">
        <f t="shared" si="32"/>
        <v>1892</v>
      </c>
      <c r="AX22" s="36">
        <v>1892</v>
      </c>
      <c r="AY22" s="36"/>
      <c r="AZ22" s="36">
        <v>0</v>
      </c>
      <c r="BA22" s="36">
        <f t="shared" si="25"/>
        <v>1892</v>
      </c>
      <c r="BC22" s="37">
        <f t="shared" si="33"/>
        <v>1.6761488973031013E-3</v>
      </c>
    </row>
    <row r="23" spans="1:56" x14ac:dyDescent="0.2">
      <c r="A23" s="1" t="s">
        <v>58</v>
      </c>
      <c r="B23" s="38">
        <v>334294</v>
      </c>
      <c r="C23" s="39" t="s">
        <v>81</v>
      </c>
      <c r="D23" s="40">
        <v>5000</v>
      </c>
      <c r="E23" s="40">
        <v>5000</v>
      </c>
      <c r="F23" s="40">
        <v>5000</v>
      </c>
      <c r="G23" s="40">
        <v>10000</v>
      </c>
      <c r="H23" s="40">
        <v>10000</v>
      </c>
      <c r="I23" s="40"/>
      <c r="J23" s="40">
        <v>12000</v>
      </c>
      <c r="K23" s="40">
        <v>15000</v>
      </c>
      <c r="L23" s="40"/>
      <c r="M23" s="40"/>
      <c r="N23" s="40">
        <v>20000</v>
      </c>
      <c r="O23" s="40"/>
      <c r="P23" s="40">
        <v>20000</v>
      </c>
      <c r="Q23" s="40">
        <v>15000</v>
      </c>
      <c r="R23" s="40"/>
      <c r="S23" s="40">
        <v>15000</v>
      </c>
      <c r="T23" s="41"/>
      <c r="U23" s="41">
        <v>15000</v>
      </c>
      <c r="V23" s="41">
        <f>+U23-S23</f>
        <v>0</v>
      </c>
      <c r="W23" s="40">
        <v>15000</v>
      </c>
      <c r="X23" s="40">
        <f t="shared" si="23"/>
        <v>0</v>
      </c>
      <c r="Y23" s="43">
        <v>15000</v>
      </c>
      <c r="Z23" s="43">
        <f>+Y23-W23</f>
        <v>0</v>
      </c>
      <c r="AA23" s="45">
        <v>15000</v>
      </c>
      <c r="AB23" s="44">
        <f t="shared" si="26"/>
        <v>0</v>
      </c>
      <c r="AC23" s="44">
        <v>15000</v>
      </c>
      <c r="AD23" s="81">
        <f t="shared" si="27"/>
        <v>0</v>
      </c>
      <c r="AE23" s="44">
        <v>15000</v>
      </c>
      <c r="AF23" s="44">
        <f t="shared" si="28"/>
        <v>0</v>
      </c>
      <c r="AG23" s="44">
        <v>15000</v>
      </c>
      <c r="AH23" s="43">
        <f>AG23-AE23</f>
        <v>0</v>
      </c>
      <c r="AI23" s="44">
        <v>15000</v>
      </c>
      <c r="AJ23" s="43">
        <f t="shared" si="34"/>
        <v>300</v>
      </c>
      <c r="AK23" s="43">
        <f t="shared" si="35"/>
        <v>14700</v>
      </c>
      <c r="AL23" s="46">
        <v>14700</v>
      </c>
      <c r="AM23" s="46">
        <f>AL23*0.01</f>
        <v>147</v>
      </c>
      <c r="AN23" s="46">
        <f t="shared" si="24"/>
        <v>14553</v>
      </c>
      <c r="AO23" s="46">
        <v>14553</v>
      </c>
      <c r="AP23" s="46">
        <v>0</v>
      </c>
      <c r="AQ23" s="46">
        <f t="shared" si="30"/>
        <v>14553</v>
      </c>
      <c r="AR23" s="46">
        <v>14553</v>
      </c>
      <c r="AS23" s="46">
        <v>0</v>
      </c>
      <c r="AT23" s="46">
        <f t="shared" si="31"/>
        <v>14553</v>
      </c>
      <c r="AU23" s="46">
        <v>14553</v>
      </c>
      <c r="AV23" s="46">
        <v>0</v>
      </c>
      <c r="AW23" s="46">
        <f t="shared" si="32"/>
        <v>14553</v>
      </c>
      <c r="AX23" s="46">
        <v>14553</v>
      </c>
      <c r="AY23" s="46">
        <v>2947</v>
      </c>
      <c r="AZ23" s="46">
        <v>2947</v>
      </c>
      <c r="BA23" s="46">
        <f t="shared" si="25"/>
        <v>14553</v>
      </c>
      <c r="BB23" s="82"/>
      <c r="BC23" s="83">
        <f t="shared" si="33"/>
        <v>1.2892703436813971E-2</v>
      </c>
      <c r="BD23" s="1" t="s">
        <v>164</v>
      </c>
    </row>
    <row r="24" spans="1:56" x14ac:dyDescent="0.2">
      <c r="A24" s="1" t="s">
        <v>58</v>
      </c>
      <c r="B24" s="2">
        <v>334226</v>
      </c>
      <c r="C24" s="27" t="s">
        <v>82</v>
      </c>
      <c r="D24" s="28">
        <v>2200</v>
      </c>
      <c r="E24" s="28">
        <v>2200</v>
      </c>
      <c r="F24" s="28">
        <v>2600</v>
      </c>
      <c r="G24" s="28">
        <v>3000</v>
      </c>
      <c r="H24" s="28">
        <v>3000</v>
      </c>
      <c r="I24" s="28"/>
      <c r="J24" s="28">
        <v>5500</v>
      </c>
      <c r="K24" s="28">
        <f>9340-2640</f>
        <v>6700</v>
      </c>
      <c r="L24" s="28"/>
      <c r="M24" s="28"/>
      <c r="N24" s="28">
        <v>6700</v>
      </c>
      <c r="O24" s="28"/>
      <c r="P24" s="28">
        <v>6700</v>
      </c>
      <c r="Q24" s="28">
        <v>7000</v>
      </c>
      <c r="R24" s="28"/>
      <c r="S24" s="28">
        <v>7000</v>
      </c>
      <c r="T24" s="29"/>
      <c r="U24" s="29">
        <v>7000</v>
      </c>
      <c r="V24" s="29">
        <f>+U24-S24</f>
        <v>0</v>
      </c>
      <c r="W24" s="28">
        <v>7000</v>
      </c>
      <c r="X24" s="28">
        <f t="shared" si="23"/>
        <v>0</v>
      </c>
      <c r="Y24" s="31">
        <v>7000</v>
      </c>
      <c r="Z24" s="31">
        <f t="shared" si="3"/>
        <v>0</v>
      </c>
      <c r="AA24" s="33">
        <v>7000</v>
      </c>
      <c r="AB24" s="32">
        <f t="shared" si="26"/>
        <v>0</v>
      </c>
      <c r="AC24" s="32">
        <v>7000</v>
      </c>
      <c r="AD24" s="80">
        <f t="shared" si="27"/>
        <v>0</v>
      </c>
      <c r="AE24" s="32">
        <f>7500-250</f>
        <v>7250</v>
      </c>
      <c r="AF24" s="32">
        <f t="shared" si="28"/>
        <v>250</v>
      </c>
      <c r="AG24" s="32">
        <f>7500-250</f>
        <v>7250</v>
      </c>
      <c r="AH24" s="31">
        <f t="shared" si="29"/>
        <v>0</v>
      </c>
      <c r="AI24" s="32">
        <f>7500-250</f>
        <v>7250</v>
      </c>
      <c r="AJ24" s="31">
        <f t="shared" si="34"/>
        <v>145</v>
      </c>
      <c r="AK24" s="31">
        <f t="shared" si="35"/>
        <v>7105</v>
      </c>
      <c r="AL24" s="34">
        <v>7105</v>
      </c>
      <c r="AM24" s="34">
        <f>AL24*0.01</f>
        <v>71.05</v>
      </c>
      <c r="AN24" s="34">
        <f t="shared" si="24"/>
        <v>7033.95</v>
      </c>
      <c r="AO24" s="34">
        <v>7034</v>
      </c>
      <c r="AP24" s="34">
        <v>0</v>
      </c>
      <c r="AQ24" s="34">
        <f t="shared" si="30"/>
        <v>7034</v>
      </c>
      <c r="AR24" s="34">
        <v>7034</v>
      </c>
      <c r="AS24" s="34">
        <v>0</v>
      </c>
      <c r="AT24" s="34">
        <f t="shared" si="31"/>
        <v>7034</v>
      </c>
      <c r="AU24" s="35">
        <v>7034</v>
      </c>
      <c r="AV24" s="35">
        <v>0</v>
      </c>
      <c r="AW24" s="35">
        <f t="shared" si="32"/>
        <v>7034</v>
      </c>
      <c r="AX24" s="36">
        <v>7034</v>
      </c>
      <c r="AY24" s="36"/>
      <c r="AZ24" s="36">
        <v>0</v>
      </c>
      <c r="BA24" s="36">
        <f t="shared" si="25"/>
        <v>7034</v>
      </c>
      <c r="BB24" s="1" t="s">
        <v>24</v>
      </c>
      <c r="BC24" s="37">
        <f t="shared" si="33"/>
        <v>6.2315176234830939E-3</v>
      </c>
    </row>
    <row r="25" spans="1:56" x14ac:dyDescent="0.2">
      <c r="A25" s="1" t="s">
        <v>58</v>
      </c>
      <c r="B25" s="2">
        <v>334340</v>
      </c>
      <c r="C25" s="53" t="s">
        <v>83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>
        <v>5000</v>
      </c>
      <c r="Q25" s="54">
        <v>5000</v>
      </c>
      <c r="R25" s="54"/>
      <c r="S25" s="54">
        <v>5000</v>
      </c>
      <c r="T25" s="30"/>
      <c r="U25" s="30">
        <v>5000</v>
      </c>
      <c r="V25" s="30">
        <f>+U25-S25</f>
        <v>0</v>
      </c>
      <c r="W25" s="54">
        <v>5000</v>
      </c>
      <c r="X25" s="54">
        <f t="shared" si="23"/>
        <v>0</v>
      </c>
      <c r="Y25" s="52">
        <v>5000</v>
      </c>
      <c r="Z25" s="52">
        <f t="shared" si="3"/>
        <v>0</v>
      </c>
      <c r="AA25" s="84">
        <v>5000</v>
      </c>
      <c r="AB25" s="32">
        <f t="shared" si="26"/>
        <v>0</v>
      </c>
      <c r="AC25" s="32">
        <v>5000</v>
      </c>
      <c r="AD25" s="80">
        <f t="shared" si="27"/>
        <v>0</v>
      </c>
      <c r="AE25" s="32">
        <v>5000</v>
      </c>
      <c r="AF25" s="32">
        <f t="shared" ref="AF25" si="36">AC25-AE25</f>
        <v>0</v>
      </c>
      <c r="AG25" s="32">
        <v>5000</v>
      </c>
      <c r="AH25" s="31">
        <f t="shared" si="29"/>
        <v>0</v>
      </c>
      <c r="AI25" s="32">
        <v>5000</v>
      </c>
      <c r="AJ25" s="31">
        <f t="shared" si="34"/>
        <v>100</v>
      </c>
      <c r="AK25" s="31">
        <f t="shared" si="35"/>
        <v>4900</v>
      </c>
      <c r="AL25" s="34">
        <v>4900</v>
      </c>
      <c r="AM25" s="34">
        <f>AL25*0.01</f>
        <v>49</v>
      </c>
      <c r="AN25" s="34">
        <f t="shared" si="24"/>
        <v>4851</v>
      </c>
      <c r="AO25" s="34">
        <v>4851</v>
      </c>
      <c r="AP25" s="34">
        <v>75</v>
      </c>
      <c r="AQ25" s="34">
        <f t="shared" si="30"/>
        <v>4926</v>
      </c>
      <c r="AR25" s="34">
        <v>4926</v>
      </c>
      <c r="AS25" s="34">
        <v>0</v>
      </c>
      <c r="AT25" s="34">
        <f t="shared" si="31"/>
        <v>4926</v>
      </c>
      <c r="AU25" s="35">
        <v>4926</v>
      </c>
      <c r="AV25" s="35">
        <v>0</v>
      </c>
      <c r="AW25" s="35">
        <f t="shared" si="32"/>
        <v>4926</v>
      </c>
      <c r="AX25" s="36">
        <v>4926</v>
      </c>
      <c r="AY25" s="36"/>
      <c r="AZ25" s="36">
        <v>926</v>
      </c>
      <c r="BA25" s="36">
        <f t="shared" si="25"/>
        <v>4000</v>
      </c>
      <c r="BC25" s="37">
        <f>BA25/$BA$74</f>
        <v>3.5436551740023283E-3</v>
      </c>
    </row>
    <row r="26" spans="1:56" s="61" customFormat="1" x14ac:dyDescent="0.2">
      <c r="B26" s="62"/>
      <c r="C26" s="85" t="s">
        <v>84</v>
      </c>
      <c r="D26" s="86">
        <f t="shared" ref="D26:O26" si="37">SUM(D19:D24)</f>
        <v>90900</v>
      </c>
      <c r="E26" s="86">
        <f t="shared" si="37"/>
        <v>96900</v>
      </c>
      <c r="F26" s="86">
        <f t="shared" si="37"/>
        <v>107720</v>
      </c>
      <c r="G26" s="86">
        <f t="shared" si="37"/>
        <v>118120</v>
      </c>
      <c r="H26" s="86">
        <f t="shared" si="37"/>
        <v>118120</v>
      </c>
      <c r="I26" s="86">
        <f t="shared" si="37"/>
        <v>14200</v>
      </c>
      <c r="J26" s="86">
        <f t="shared" si="37"/>
        <v>131620</v>
      </c>
      <c r="K26" s="86">
        <f t="shared" si="37"/>
        <v>139820</v>
      </c>
      <c r="L26" s="86">
        <f t="shared" si="37"/>
        <v>0</v>
      </c>
      <c r="M26" s="86">
        <f t="shared" si="37"/>
        <v>0</v>
      </c>
      <c r="N26" s="86">
        <f t="shared" si="37"/>
        <v>149000</v>
      </c>
      <c r="O26" s="86">
        <f t="shared" si="37"/>
        <v>0</v>
      </c>
      <c r="P26" s="86">
        <f t="shared" ref="P26:AZ26" si="38">SUM(P19:P25)</f>
        <v>163000</v>
      </c>
      <c r="Q26" s="86">
        <f t="shared" si="38"/>
        <v>158300</v>
      </c>
      <c r="R26" s="86">
        <f t="shared" si="38"/>
        <v>9000</v>
      </c>
      <c r="S26" s="86">
        <f t="shared" si="38"/>
        <v>158300</v>
      </c>
      <c r="T26" s="29">
        <f t="shared" si="38"/>
        <v>9000</v>
      </c>
      <c r="U26" s="29">
        <f t="shared" si="38"/>
        <v>162800</v>
      </c>
      <c r="V26" s="29">
        <f t="shared" si="38"/>
        <v>0</v>
      </c>
      <c r="W26" s="86">
        <f t="shared" si="38"/>
        <v>162800</v>
      </c>
      <c r="X26" s="86">
        <f t="shared" si="38"/>
        <v>0</v>
      </c>
      <c r="Y26" s="59">
        <f t="shared" si="38"/>
        <v>162800</v>
      </c>
      <c r="Z26" s="87">
        <f t="shared" si="38"/>
        <v>0</v>
      </c>
      <c r="AA26" s="59">
        <f t="shared" si="38"/>
        <v>162800</v>
      </c>
      <c r="AB26" s="59">
        <f t="shared" si="38"/>
        <v>0</v>
      </c>
      <c r="AC26" s="59">
        <f t="shared" si="38"/>
        <v>166492</v>
      </c>
      <c r="AD26" s="87">
        <f t="shared" si="38"/>
        <v>3692</v>
      </c>
      <c r="AE26" s="59">
        <f t="shared" si="38"/>
        <v>166892</v>
      </c>
      <c r="AF26" s="87">
        <f t="shared" si="38"/>
        <v>400</v>
      </c>
      <c r="AG26" s="59">
        <f t="shared" si="38"/>
        <v>166892</v>
      </c>
      <c r="AH26" s="87">
        <f t="shared" si="38"/>
        <v>0</v>
      </c>
      <c r="AI26" s="59">
        <f t="shared" si="38"/>
        <v>167040</v>
      </c>
      <c r="AJ26" s="59">
        <f t="shared" si="38"/>
        <v>3227.84</v>
      </c>
      <c r="AK26" s="59">
        <f t="shared" si="38"/>
        <v>158664.16</v>
      </c>
      <c r="AL26" s="65">
        <f t="shared" si="38"/>
        <v>158664.20000000001</v>
      </c>
      <c r="AM26" s="65">
        <f t="shared" si="38"/>
        <v>1581.6419999999998</v>
      </c>
      <c r="AN26" s="65">
        <f t="shared" si="38"/>
        <v>157082.55800000002</v>
      </c>
      <c r="AO26" s="65">
        <f t="shared" si="38"/>
        <v>157082</v>
      </c>
      <c r="AP26" s="65">
        <f t="shared" si="38"/>
        <v>818</v>
      </c>
      <c r="AQ26" s="65">
        <f t="shared" si="38"/>
        <v>157900</v>
      </c>
      <c r="AR26" s="65">
        <f t="shared" si="38"/>
        <v>157900</v>
      </c>
      <c r="AS26" s="65">
        <f t="shared" si="38"/>
        <v>0</v>
      </c>
      <c r="AT26" s="65">
        <f t="shared" si="38"/>
        <v>157900</v>
      </c>
      <c r="AU26" s="68">
        <f t="shared" si="38"/>
        <v>157900</v>
      </c>
      <c r="AV26" s="68">
        <f t="shared" si="38"/>
        <v>0</v>
      </c>
      <c r="AW26" s="68">
        <f t="shared" si="38"/>
        <v>157900</v>
      </c>
      <c r="AX26" s="88">
        <f t="shared" si="38"/>
        <v>157900</v>
      </c>
      <c r="AY26" s="88">
        <f t="shared" si="38"/>
        <v>2947</v>
      </c>
      <c r="AZ26" s="88">
        <f t="shared" si="38"/>
        <v>4373</v>
      </c>
      <c r="BA26" s="88">
        <f>SUM(BA19:BA25)</f>
        <v>156474</v>
      </c>
      <c r="BC26" s="70">
        <f>BA26/$BA$74</f>
        <v>0.13862247492421007</v>
      </c>
    </row>
    <row r="27" spans="1:56" x14ac:dyDescent="0.2">
      <c r="S27" s="51"/>
      <c r="T27" s="50"/>
      <c r="U27" s="50"/>
      <c r="V27" s="50"/>
      <c r="W27" s="22"/>
      <c r="X27" s="72"/>
      <c r="Y27" s="89"/>
      <c r="Z27" s="4" t="s">
        <v>24</v>
      </c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1"/>
      <c r="AX27" s="25"/>
      <c r="AY27" s="25"/>
      <c r="AZ27" s="25"/>
      <c r="BA27" s="25"/>
      <c r="BC27" s="25"/>
    </row>
    <row r="28" spans="1:56" x14ac:dyDescent="0.2">
      <c r="C28" s="20" t="s">
        <v>85</v>
      </c>
      <c r="S28" s="51"/>
      <c r="T28" s="29"/>
      <c r="U28" s="29"/>
      <c r="V28" s="29"/>
      <c r="W28" s="75"/>
      <c r="X28" s="76"/>
      <c r="Y28" s="89"/>
      <c r="Z28" s="4" t="s">
        <v>24</v>
      </c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1"/>
      <c r="AX28" s="25"/>
      <c r="AY28" s="25"/>
      <c r="AZ28" s="25"/>
      <c r="BA28" s="25"/>
      <c r="BC28" s="25"/>
    </row>
    <row r="29" spans="1:56" ht="12" customHeight="1" x14ac:dyDescent="0.2">
      <c r="A29" s="1" t="s">
        <v>58</v>
      </c>
      <c r="B29" s="38">
        <v>334145</v>
      </c>
      <c r="C29" s="39" t="s">
        <v>86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1"/>
      <c r="U29" s="41">
        <v>0</v>
      </c>
      <c r="V29" s="41">
        <v>0</v>
      </c>
      <c r="W29" s="40">
        <v>0</v>
      </c>
      <c r="X29" s="40">
        <v>0</v>
      </c>
      <c r="Y29" s="44">
        <v>0</v>
      </c>
      <c r="Z29" s="43">
        <v>0</v>
      </c>
      <c r="AA29" s="43">
        <v>0</v>
      </c>
      <c r="AB29" s="43">
        <v>0</v>
      </c>
      <c r="AC29" s="43">
        <v>80000</v>
      </c>
      <c r="AD29" s="45">
        <f>AC29-AA29</f>
        <v>80000</v>
      </c>
      <c r="AE29" s="44">
        <v>80000</v>
      </c>
      <c r="AF29" s="44">
        <f>AC29-AE29</f>
        <v>0</v>
      </c>
      <c r="AG29" s="44">
        <v>81000</v>
      </c>
      <c r="AH29" s="44">
        <f>AG29-AE29</f>
        <v>1000</v>
      </c>
      <c r="AI29" s="44">
        <v>81000</v>
      </c>
      <c r="AJ29" s="44">
        <f>AI29*0.02</f>
        <v>1620</v>
      </c>
      <c r="AK29" s="44">
        <f>AI29-AJ29</f>
        <v>79380</v>
      </c>
      <c r="AL29" s="46">
        <v>79380</v>
      </c>
      <c r="AM29" s="46">
        <f>AL29*0.01</f>
        <v>793.80000000000007</v>
      </c>
      <c r="AN29" s="46">
        <f>AL29-AM29</f>
        <v>78586.2</v>
      </c>
      <c r="AO29" s="46">
        <v>78586</v>
      </c>
      <c r="AP29" s="46">
        <v>0</v>
      </c>
      <c r="AQ29" s="46">
        <f t="shared" ref="AQ29:AQ30" si="39">AO29+AP29</f>
        <v>78586</v>
      </c>
      <c r="AR29" s="46">
        <v>78586</v>
      </c>
      <c r="AS29" s="46">
        <v>0</v>
      </c>
      <c r="AT29" s="46">
        <f t="shared" ref="AT29:AT30" si="40">AR29+AS29</f>
        <v>78586</v>
      </c>
      <c r="AU29" s="46">
        <v>78586</v>
      </c>
      <c r="AV29" s="46">
        <v>0</v>
      </c>
      <c r="AW29" s="46">
        <f t="shared" ref="AW29:AW30" si="41">AU29+AV29</f>
        <v>78586</v>
      </c>
      <c r="AX29" s="46">
        <v>78586</v>
      </c>
      <c r="AY29" s="46">
        <v>7000</v>
      </c>
      <c r="AZ29" s="46">
        <f>7000+3586</f>
        <v>10586</v>
      </c>
      <c r="BA29" s="46">
        <f t="shared" ref="BA29:BA50" si="42">AX29+AY29-AZ29</f>
        <v>75000</v>
      </c>
      <c r="BB29" s="82"/>
      <c r="BC29" s="83">
        <f>BA29/$BA$74</f>
        <v>6.6443534512543659E-2</v>
      </c>
      <c r="BD29" s="1" t="s">
        <v>164</v>
      </c>
    </row>
    <row r="30" spans="1:56" x14ac:dyDescent="0.2">
      <c r="A30" s="1" t="s">
        <v>58</v>
      </c>
      <c r="B30" s="2">
        <v>334339</v>
      </c>
      <c r="C30" s="27" t="s">
        <v>87</v>
      </c>
      <c r="D30" s="28">
        <v>2000</v>
      </c>
      <c r="E30" s="28">
        <v>2000</v>
      </c>
      <c r="F30" s="28">
        <v>1000</v>
      </c>
      <c r="G30" s="28">
        <v>1000</v>
      </c>
      <c r="H30" s="28">
        <v>500</v>
      </c>
      <c r="I30" s="28"/>
      <c r="J30" s="28">
        <v>500</v>
      </c>
      <c r="K30" s="28">
        <v>500</v>
      </c>
      <c r="L30" s="28"/>
      <c r="M30" s="28"/>
      <c r="N30" s="28">
        <v>500</v>
      </c>
      <c r="O30" s="28"/>
      <c r="P30" s="28">
        <v>500</v>
      </c>
      <c r="Q30" s="28">
        <v>0</v>
      </c>
      <c r="R30" s="28"/>
      <c r="S30" s="28">
        <v>10000</v>
      </c>
      <c r="T30" s="29"/>
      <c r="U30" s="29">
        <v>10000</v>
      </c>
      <c r="V30" s="29">
        <f>+U30-S30</f>
        <v>0</v>
      </c>
      <c r="W30" s="29">
        <v>10000</v>
      </c>
      <c r="X30" s="29">
        <f>+W30-U30</f>
        <v>0</v>
      </c>
      <c r="Y30" s="32">
        <v>10000</v>
      </c>
      <c r="Z30" s="31">
        <f>+Y30-W30</f>
        <v>0</v>
      </c>
      <c r="AA30" s="31">
        <v>10000</v>
      </c>
      <c r="AB30" s="31">
        <f>AA30-Y30</f>
        <v>0</v>
      </c>
      <c r="AC30" s="31">
        <v>10000</v>
      </c>
      <c r="AD30" s="33">
        <f>AC30-AA30</f>
        <v>0</v>
      </c>
      <c r="AE30" s="32">
        <v>10000</v>
      </c>
      <c r="AF30" s="32">
        <f t="shared" ref="AF30:AF50" si="43">AC30-AE30</f>
        <v>0</v>
      </c>
      <c r="AG30" s="32">
        <v>10000</v>
      </c>
      <c r="AH30" s="32">
        <f t="shared" ref="AH30:AH50" si="44">AG30-AE30</f>
        <v>0</v>
      </c>
      <c r="AI30" s="32">
        <v>10000</v>
      </c>
      <c r="AJ30" s="32">
        <f>AI30*0.02</f>
        <v>200</v>
      </c>
      <c r="AK30" s="32">
        <f>AI30-AJ30</f>
        <v>9800</v>
      </c>
      <c r="AL30" s="34">
        <v>9800</v>
      </c>
      <c r="AM30" s="34">
        <f>AL30*0.01</f>
        <v>98</v>
      </c>
      <c r="AN30" s="34">
        <f>AL30-AM30</f>
        <v>9702</v>
      </c>
      <c r="AO30" s="34">
        <v>9702</v>
      </c>
      <c r="AP30" s="34">
        <v>0</v>
      </c>
      <c r="AQ30" s="34">
        <f t="shared" si="39"/>
        <v>9702</v>
      </c>
      <c r="AR30" s="34">
        <v>9702</v>
      </c>
      <c r="AS30" s="34">
        <v>0</v>
      </c>
      <c r="AT30" s="34">
        <f t="shared" si="40"/>
        <v>9702</v>
      </c>
      <c r="AU30" s="35">
        <v>9702</v>
      </c>
      <c r="AV30" s="35">
        <v>0</v>
      </c>
      <c r="AW30" s="35">
        <f t="shared" si="41"/>
        <v>9702</v>
      </c>
      <c r="AX30" s="36">
        <v>9702</v>
      </c>
      <c r="AY30" s="36"/>
      <c r="AZ30" s="36">
        <v>9702</v>
      </c>
      <c r="BA30" s="36">
        <f t="shared" si="42"/>
        <v>0</v>
      </c>
      <c r="BC30" s="37">
        <f t="shared" ref="BC30:BC50" si="45">BA30/$BA$74</f>
        <v>0</v>
      </c>
    </row>
    <row r="31" spans="1:56" hidden="1" x14ac:dyDescent="0.2">
      <c r="A31" s="90" t="s">
        <v>88</v>
      </c>
      <c r="B31" s="2">
        <v>334370</v>
      </c>
      <c r="C31" s="27" t="s">
        <v>89</v>
      </c>
      <c r="D31" s="28">
        <v>1600</v>
      </c>
      <c r="E31" s="28">
        <v>3000</v>
      </c>
      <c r="F31" s="28">
        <v>3500</v>
      </c>
      <c r="G31" s="28">
        <v>3500</v>
      </c>
      <c r="H31" s="28">
        <v>3500</v>
      </c>
      <c r="I31" s="28"/>
      <c r="J31" s="28">
        <v>3500</v>
      </c>
      <c r="K31" s="28">
        <v>3750</v>
      </c>
      <c r="L31" s="28"/>
      <c r="M31" s="28"/>
      <c r="N31" s="28">
        <v>4250</v>
      </c>
      <c r="O31" s="28"/>
      <c r="P31" s="28">
        <v>7000</v>
      </c>
      <c r="Q31" s="28">
        <v>7500</v>
      </c>
      <c r="R31" s="28"/>
      <c r="S31" s="28">
        <v>7500</v>
      </c>
      <c r="T31" s="29"/>
      <c r="U31" s="29">
        <v>6000</v>
      </c>
      <c r="V31" s="29">
        <v>0</v>
      </c>
      <c r="W31" s="28">
        <v>6000</v>
      </c>
      <c r="X31" s="28">
        <f t="shared" ref="X31:X46" si="46">+W31-U31</f>
        <v>0</v>
      </c>
      <c r="Y31" s="31">
        <v>6000</v>
      </c>
      <c r="Z31" s="31">
        <f t="shared" si="3"/>
        <v>0</v>
      </c>
      <c r="AA31" s="31">
        <v>6000</v>
      </c>
      <c r="AB31" s="31">
        <f>AA31-Y31</f>
        <v>0</v>
      </c>
      <c r="AC31" s="31">
        <v>0</v>
      </c>
      <c r="AD31" s="33">
        <f>AC31-AA31</f>
        <v>-6000</v>
      </c>
      <c r="AE31" s="32">
        <v>0</v>
      </c>
      <c r="AF31" s="32">
        <f t="shared" si="43"/>
        <v>0</v>
      </c>
      <c r="AG31" s="32">
        <v>0</v>
      </c>
      <c r="AH31" s="32">
        <f t="shared" si="44"/>
        <v>0</v>
      </c>
      <c r="AI31" s="32">
        <v>0</v>
      </c>
      <c r="AJ31" s="32"/>
      <c r="AK31" s="32"/>
      <c r="AL31" s="34"/>
      <c r="AM31" s="34">
        <f t="shared" ref="AM31:AM50" si="47">AL31*0.01</f>
        <v>0</v>
      </c>
      <c r="AN31" s="34"/>
      <c r="AO31" s="34"/>
      <c r="AP31" s="34"/>
      <c r="AQ31" s="34"/>
      <c r="AR31" s="34"/>
      <c r="AS31" s="34"/>
      <c r="AT31" s="34"/>
      <c r="AU31" s="35"/>
      <c r="AV31" s="35"/>
      <c r="AW31" s="35"/>
      <c r="AX31" s="36"/>
      <c r="AY31" s="36"/>
      <c r="AZ31" s="36"/>
      <c r="BA31" s="36">
        <f t="shared" si="42"/>
        <v>0</v>
      </c>
      <c r="BC31" s="37">
        <f t="shared" si="45"/>
        <v>0</v>
      </c>
    </row>
    <row r="32" spans="1:56" hidden="1" x14ac:dyDescent="0.2">
      <c r="A32" s="91" t="s">
        <v>88</v>
      </c>
      <c r="B32" s="2">
        <v>334316</v>
      </c>
      <c r="C32" s="27" t="s">
        <v>90</v>
      </c>
      <c r="D32" s="28">
        <v>3000</v>
      </c>
      <c r="E32" s="28">
        <v>3000</v>
      </c>
      <c r="F32" s="28">
        <v>3000</v>
      </c>
      <c r="G32" s="28">
        <v>3000</v>
      </c>
      <c r="H32" s="28">
        <v>3500</v>
      </c>
      <c r="I32" s="28"/>
      <c r="J32" s="28">
        <v>3500</v>
      </c>
      <c r="K32" s="28">
        <v>4000</v>
      </c>
      <c r="L32" s="28"/>
      <c r="M32" s="28"/>
      <c r="N32" s="28">
        <v>4000</v>
      </c>
      <c r="O32" s="28"/>
      <c r="P32" s="28">
        <v>4500</v>
      </c>
      <c r="Q32" s="28">
        <v>4500</v>
      </c>
      <c r="R32" s="28"/>
      <c r="S32" s="28">
        <v>4500</v>
      </c>
      <c r="T32" s="29"/>
      <c r="U32" s="29">
        <v>4500</v>
      </c>
      <c r="V32" s="29">
        <f>+U32-S32</f>
        <v>0</v>
      </c>
      <c r="W32" s="28">
        <v>4500</v>
      </c>
      <c r="X32" s="28">
        <f t="shared" si="46"/>
        <v>0</v>
      </c>
      <c r="Y32" s="31">
        <v>4500</v>
      </c>
      <c r="Z32" s="31">
        <f t="shared" si="3"/>
        <v>0</v>
      </c>
      <c r="AA32" s="31">
        <v>4500</v>
      </c>
      <c r="AB32" s="31">
        <f t="shared" ref="AB32:AB50" si="48">AA32-Y32</f>
        <v>0</v>
      </c>
      <c r="AC32" s="31">
        <v>0</v>
      </c>
      <c r="AD32" s="33">
        <f t="shared" ref="AD32:AD50" si="49">AC32-AA32</f>
        <v>-4500</v>
      </c>
      <c r="AE32" s="32">
        <v>0</v>
      </c>
      <c r="AF32" s="32">
        <f t="shared" si="43"/>
        <v>0</v>
      </c>
      <c r="AG32" s="32">
        <v>0</v>
      </c>
      <c r="AH32" s="32">
        <f t="shared" si="44"/>
        <v>0</v>
      </c>
      <c r="AI32" s="32">
        <v>0</v>
      </c>
      <c r="AJ32" s="32"/>
      <c r="AK32" s="32"/>
      <c r="AL32" s="34"/>
      <c r="AM32" s="34">
        <f t="shared" si="47"/>
        <v>0</v>
      </c>
      <c r="AN32" s="34"/>
      <c r="AO32" s="34"/>
      <c r="AP32" s="34"/>
      <c r="AQ32" s="34"/>
      <c r="AR32" s="34"/>
      <c r="AS32" s="34"/>
      <c r="AT32" s="34"/>
      <c r="AU32" s="35"/>
      <c r="AV32" s="35"/>
      <c r="AW32" s="35"/>
      <c r="AX32" s="36"/>
      <c r="AY32" s="36"/>
      <c r="AZ32" s="36"/>
      <c r="BA32" s="36">
        <f t="shared" si="42"/>
        <v>0</v>
      </c>
      <c r="BC32" s="37">
        <f t="shared" si="45"/>
        <v>0</v>
      </c>
    </row>
    <row r="33" spans="1:55" hidden="1" x14ac:dyDescent="0.2">
      <c r="A33" s="91" t="s">
        <v>88</v>
      </c>
      <c r="B33" s="2">
        <v>334317</v>
      </c>
      <c r="C33" s="27" t="s">
        <v>91</v>
      </c>
      <c r="D33" s="28">
        <v>2700</v>
      </c>
      <c r="E33" s="28">
        <v>3000</v>
      </c>
      <c r="F33" s="28">
        <v>3000</v>
      </c>
      <c r="G33" s="28">
        <v>3000</v>
      </c>
      <c r="H33" s="28">
        <v>3000</v>
      </c>
      <c r="I33" s="28"/>
      <c r="J33" s="28">
        <v>3500</v>
      </c>
      <c r="K33" s="28">
        <v>3750</v>
      </c>
      <c r="L33" s="28"/>
      <c r="M33" s="28"/>
      <c r="N33" s="28">
        <v>4500</v>
      </c>
      <c r="O33" s="28"/>
      <c r="P33" s="28">
        <v>6000</v>
      </c>
      <c r="Q33" s="28">
        <v>6000</v>
      </c>
      <c r="R33" s="28"/>
      <c r="S33" s="28">
        <v>6000</v>
      </c>
      <c r="T33" s="29">
        <v>450</v>
      </c>
      <c r="U33" s="29">
        <v>6000</v>
      </c>
      <c r="V33" s="29">
        <f>+U33-S33</f>
        <v>0</v>
      </c>
      <c r="W33" s="28">
        <v>6000</v>
      </c>
      <c r="X33" s="28">
        <f t="shared" si="46"/>
        <v>0</v>
      </c>
      <c r="Y33" s="31">
        <v>6000</v>
      </c>
      <c r="Z33" s="31">
        <f t="shared" si="3"/>
        <v>0</v>
      </c>
      <c r="AA33" s="31">
        <v>6000</v>
      </c>
      <c r="AB33" s="31">
        <f t="shared" si="48"/>
        <v>0</v>
      </c>
      <c r="AC33" s="31">
        <v>0</v>
      </c>
      <c r="AD33" s="33">
        <f t="shared" si="49"/>
        <v>-6000</v>
      </c>
      <c r="AE33" s="32">
        <v>0</v>
      </c>
      <c r="AF33" s="32">
        <f t="shared" si="43"/>
        <v>0</v>
      </c>
      <c r="AG33" s="32">
        <v>0</v>
      </c>
      <c r="AH33" s="32">
        <f t="shared" si="44"/>
        <v>0</v>
      </c>
      <c r="AI33" s="32">
        <v>0</v>
      </c>
      <c r="AJ33" s="32"/>
      <c r="AK33" s="32"/>
      <c r="AL33" s="34"/>
      <c r="AM33" s="34">
        <f t="shared" si="47"/>
        <v>0</v>
      </c>
      <c r="AN33" s="34"/>
      <c r="AO33" s="34"/>
      <c r="AP33" s="34"/>
      <c r="AQ33" s="34"/>
      <c r="AR33" s="34"/>
      <c r="AS33" s="34"/>
      <c r="AT33" s="34"/>
      <c r="AU33" s="35"/>
      <c r="AV33" s="35"/>
      <c r="AW33" s="35"/>
      <c r="AX33" s="36"/>
      <c r="AY33" s="36"/>
      <c r="AZ33" s="36"/>
      <c r="BA33" s="36">
        <f t="shared" si="42"/>
        <v>0</v>
      </c>
      <c r="BC33" s="37">
        <f t="shared" si="45"/>
        <v>0</v>
      </c>
    </row>
    <row r="34" spans="1:55" hidden="1" x14ac:dyDescent="0.2">
      <c r="A34" s="91" t="s">
        <v>88</v>
      </c>
      <c r="B34" s="2">
        <v>334389</v>
      </c>
      <c r="C34" s="27" t="s">
        <v>92</v>
      </c>
      <c r="D34" s="28">
        <v>2700</v>
      </c>
      <c r="E34" s="28">
        <v>3000</v>
      </c>
      <c r="F34" s="28">
        <v>3000</v>
      </c>
      <c r="G34" s="28">
        <v>3000</v>
      </c>
      <c r="H34" s="28">
        <v>3000</v>
      </c>
      <c r="I34" s="28"/>
      <c r="J34" s="28">
        <v>3500</v>
      </c>
      <c r="K34" s="28">
        <v>3750</v>
      </c>
      <c r="L34" s="28"/>
      <c r="M34" s="28"/>
      <c r="N34" s="28">
        <v>4550</v>
      </c>
      <c r="O34" s="28"/>
      <c r="P34" s="28">
        <v>6050</v>
      </c>
      <c r="Q34" s="28">
        <v>6050</v>
      </c>
      <c r="R34" s="28"/>
      <c r="S34" s="28">
        <v>6050</v>
      </c>
      <c r="T34" s="29">
        <v>450</v>
      </c>
      <c r="U34" s="29">
        <v>6000</v>
      </c>
      <c r="V34" s="29">
        <v>0</v>
      </c>
      <c r="W34" s="28">
        <v>6000</v>
      </c>
      <c r="X34" s="28">
        <f t="shared" si="46"/>
        <v>0</v>
      </c>
      <c r="Y34" s="31">
        <v>6000</v>
      </c>
      <c r="Z34" s="31">
        <f t="shared" si="3"/>
        <v>0</v>
      </c>
      <c r="AA34" s="31">
        <v>6000</v>
      </c>
      <c r="AB34" s="31">
        <f t="shared" si="48"/>
        <v>0</v>
      </c>
      <c r="AC34" s="31">
        <v>0</v>
      </c>
      <c r="AD34" s="33">
        <f t="shared" si="49"/>
        <v>-6000</v>
      </c>
      <c r="AE34" s="32">
        <v>0</v>
      </c>
      <c r="AF34" s="32">
        <f t="shared" si="43"/>
        <v>0</v>
      </c>
      <c r="AG34" s="32">
        <v>0</v>
      </c>
      <c r="AH34" s="32">
        <f t="shared" si="44"/>
        <v>0</v>
      </c>
      <c r="AI34" s="32">
        <v>0</v>
      </c>
      <c r="AJ34" s="32"/>
      <c r="AK34" s="32"/>
      <c r="AL34" s="34"/>
      <c r="AM34" s="34">
        <f t="shared" si="47"/>
        <v>0</v>
      </c>
      <c r="AN34" s="34"/>
      <c r="AO34" s="34"/>
      <c r="AP34" s="34"/>
      <c r="AQ34" s="34"/>
      <c r="AR34" s="34"/>
      <c r="AS34" s="34"/>
      <c r="AT34" s="34"/>
      <c r="AU34" s="35"/>
      <c r="AV34" s="35"/>
      <c r="AW34" s="35"/>
      <c r="AX34" s="36"/>
      <c r="AY34" s="36"/>
      <c r="AZ34" s="36"/>
      <c r="BA34" s="36">
        <f t="shared" si="42"/>
        <v>0</v>
      </c>
      <c r="BC34" s="37">
        <f t="shared" si="45"/>
        <v>0</v>
      </c>
    </row>
    <row r="35" spans="1:55" hidden="1" x14ac:dyDescent="0.2">
      <c r="A35" s="91" t="s">
        <v>88</v>
      </c>
      <c r="B35" s="2">
        <v>334298</v>
      </c>
      <c r="C35" s="27" t="s">
        <v>93</v>
      </c>
      <c r="D35" s="28">
        <v>3000</v>
      </c>
      <c r="E35" s="28">
        <v>3000</v>
      </c>
      <c r="F35" s="28">
        <v>3000</v>
      </c>
      <c r="G35" s="28">
        <v>3000</v>
      </c>
      <c r="H35" s="28">
        <v>3000</v>
      </c>
      <c r="I35" s="28"/>
      <c r="J35" s="28">
        <v>3500</v>
      </c>
      <c r="K35" s="28">
        <v>4000</v>
      </c>
      <c r="L35" s="28"/>
      <c r="M35" s="28"/>
      <c r="N35" s="28">
        <v>4000</v>
      </c>
      <c r="O35" s="28"/>
      <c r="P35" s="28">
        <v>5000</v>
      </c>
      <c r="Q35" s="28">
        <v>5000</v>
      </c>
      <c r="R35" s="28"/>
      <c r="S35" s="28">
        <v>5500</v>
      </c>
      <c r="T35" s="29"/>
      <c r="U35" s="29">
        <v>5500</v>
      </c>
      <c r="V35" s="29">
        <f>+U35-S35</f>
        <v>0</v>
      </c>
      <c r="W35" s="28">
        <v>5500</v>
      </c>
      <c r="X35" s="28">
        <f t="shared" si="46"/>
        <v>0</v>
      </c>
      <c r="Y35" s="31">
        <v>5500</v>
      </c>
      <c r="Z35" s="31">
        <f t="shared" si="3"/>
        <v>0</v>
      </c>
      <c r="AA35" s="31">
        <v>5500</v>
      </c>
      <c r="AB35" s="31">
        <f t="shared" si="48"/>
        <v>0</v>
      </c>
      <c r="AC35" s="31">
        <v>0</v>
      </c>
      <c r="AD35" s="33">
        <f t="shared" si="49"/>
        <v>-5500</v>
      </c>
      <c r="AE35" s="32">
        <v>0</v>
      </c>
      <c r="AF35" s="32">
        <f t="shared" si="43"/>
        <v>0</v>
      </c>
      <c r="AG35" s="32">
        <v>0</v>
      </c>
      <c r="AH35" s="32">
        <f t="shared" si="44"/>
        <v>0</v>
      </c>
      <c r="AI35" s="32">
        <v>0</v>
      </c>
      <c r="AJ35" s="32"/>
      <c r="AK35" s="32"/>
      <c r="AL35" s="34"/>
      <c r="AM35" s="34">
        <f t="shared" si="47"/>
        <v>0</v>
      </c>
      <c r="AN35" s="34"/>
      <c r="AO35" s="34"/>
      <c r="AP35" s="34"/>
      <c r="AQ35" s="34"/>
      <c r="AR35" s="34"/>
      <c r="AS35" s="34"/>
      <c r="AT35" s="34"/>
      <c r="AU35" s="35"/>
      <c r="AV35" s="35"/>
      <c r="AW35" s="35"/>
      <c r="AX35" s="36"/>
      <c r="AY35" s="36"/>
      <c r="AZ35" s="36"/>
      <c r="BA35" s="36">
        <f t="shared" si="42"/>
        <v>0</v>
      </c>
      <c r="BC35" s="37">
        <f t="shared" si="45"/>
        <v>0</v>
      </c>
    </row>
    <row r="36" spans="1:55" hidden="1" x14ac:dyDescent="0.2">
      <c r="A36" s="91" t="s">
        <v>88</v>
      </c>
      <c r="B36" s="2">
        <v>334303</v>
      </c>
      <c r="C36" s="27" t="s">
        <v>94</v>
      </c>
      <c r="D36" s="28">
        <v>2400</v>
      </c>
      <c r="E36" s="28">
        <v>3000</v>
      </c>
      <c r="F36" s="28">
        <v>3000</v>
      </c>
      <c r="G36" s="28">
        <v>3000</v>
      </c>
      <c r="H36" s="28">
        <v>4000</v>
      </c>
      <c r="I36" s="28"/>
      <c r="J36" s="28">
        <v>5000</v>
      </c>
      <c r="K36" s="28">
        <v>5250</v>
      </c>
      <c r="L36" s="28"/>
      <c r="M36" s="28"/>
      <c r="N36" s="28">
        <f>5250+500</f>
        <v>5750</v>
      </c>
      <c r="O36" s="28"/>
      <c r="P36" s="28">
        <v>5750</v>
      </c>
      <c r="Q36" s="28">
        <v>6250</v>
      </c>
      <c r="R36" s="28"/>
      <c r="S36" s="28">
        <v>6250</v>
      </c>
      <c r="T36" s="29"/>
      <c r="U36" s="29">
        <v>6000</v>
      </c>
      <c r="V36" s="29">
        <v>0</v>
      </c>
      <c r="W36" s="28">
        <v>6000</v>
      </c>
      <c r="X36" s="28">
        <f t="shared" si="46"/>
        <v>0</v>
      </c>
      <c r="Y36" s="31">
        <v>6000</v>
      </c>
      <c r="Z36" s="31">
        <f t="shared" si="3"/>
        <v>0</v>
      </c>
      <c r="AA36" s="31">
        <v>6000</v>
      </c>
      <c r="AB36" s="31">
        <f t="shared" si="48"/>
        <v>0</v>
      </c>
      <c r="AC36" s="31">
        <v>0</v>
      </c>
      <c r="AD36" s="33">
        <f t="shared" si="49"/>
        <v>-6000</v>
      </c>
      <c r="AE36" s="32">
        <v>0</v>
      </c>
      <c r="AF36" s="32">
        <f t="shared" si="43"/>
        <v>0</v>
      </c>
      <c r="AG36" s="32">
        <v>0</v>
      </c>
      <c r="AH36" s="32">
        <f t="shared" si="44"/>
        <v>0</v>
      </c>
      <c r="AI36" s="32">
        <v>0</v>
      </c>
      <c r="AJ36" s="32"/>
      <c r="AK36" s="32"/>
      <c r="AL36" s="34"/>
      <c r="AM36" s="34">
        <f t="shared" si="47"/>
        <v>0</v>
      </c>
      <c r="AN36" s="34"/>
      <c r="AO36" s="34"/>
      <c r="AP36" s="34"/>
      <c r="AQ36" s="34"/>
      <c r="AR36" s="34"/>
      <c r="AS36" s="34"/>
      <c r="AT36" s="34"/>
      <c r="AU36" s="35"/>
      <c r="AV36" s="35"/>
      <c r="AW36" s="35"/>
      <c r="AX36" s="36"/>
      <c r="AY36" s="36"/>
      <c r="AZ36" s="36"/>
      <c r="BA36" s="36">
        <f t="shared" si="42"/>
        <v>0</v>
      </c>
      <c r="BC36" s="37">
        <f t="shared" si="45"/>
        <v>0</v>
      </c>
    </row>
    <row r="37" spans="1:55" hidden="1" x14ac:dyDescent="0.2">
      <c r="A37" s="91" t="s">
        <v>88</v>
      </c>
      <c r="B37" s="2">
        <v>334349</v>
      </c>
      <c r="C37" s="27" t="s">
        <v>95</v>
      </c>
      <c r="D37" s="28">
        <v>3000</v>
      </c>
      <c r="E37" s="28">
        <v>3000</v>
      </c>
      <c r="F37" s="28">
        <v>3000</v>
      </c>
      <c r="G37" s="28">
        <v>3000</v>
      </c>
      <c r="H37" s="28">
        <v>3000</v>
      </c>
      <c r="I37" s="28"/>
      <c r="J37" s="28">
        <v>3500</v>
      </c>
      <c r="K37" s="28">
        <v>3500</v>
      </c>
      <c r="L37" s="28"/>
      <c r="M37" s="28"/>
      <c r="N37" s="28">
        <v>3500</v>
      </c>
      <c r="O37" s="28"/>
      <c r="P37" s="28">
        <v>4000</v>
      </c>
      <c r="Q37" s="28">
        <v>4500</v>
      </c>
      <c r="R37" s="28"/>
      <c r="S37" s="28">
        <v>4500</v>
      </c>
      <c r="T37" s="29"/>
      <c r="U37" s="29">
        <v>4500</v>
      </c>
      <c r="V37" s="29">
        <f>+U37-S37</f>
        <v>0</v>
      </c>
      <c r="W37" s="28">
        <v>4500</v>
      </c>
      <c r="X37" s="28">
        <f t="shared" si="46"/>
        <v>0</v>
      </c>
      <c r="Y37" s="31">
        <v>4500</v>
      </c>
      <c r="Z37" s="31">
        <f t="shared" si="3"/>
        <v>0</v>
      </c>
      <c r="AA37" s="31">
        <v>4500</v>
      </c>
      <c r="AB37" s="31">
        <f t="shared" si="48"/>
        <v>0</v>
      </c>
      <c r="AC37" s="31">
        <v>0</v>
      </c>
      <c r="AD37" s="33">
        <f t="shared" si="49"/>
        <v>-4500</v>
      </c>
      <c r="AE37" s="32">
        <v>0</v>
      </c>
      <c r="AF37" s="32">
        <f t="shared" si="43"/>
        <v>0</v>
      </c>
      <c r="AG37" s="32">
        <v>0</v>
      </c>
      <c r="AH37" s="32">
        <f t="shared" si="44"/>
        <v>0</v>
      </c>
      <c r="AI37" s="32">
        <v>0</v>
      </c>
      <c r="AJ37" s="32"/>
      <c r="AK37" s="32"/>
      <c r="AL37" s="34"/>
      <c r="AM37" s="34">
        <f t="shared" si="47"/>
        <v>0</v>
      </c>
      <c r="AN37" s="34"/>
      <c r="AO37" s="34"/>
      <c r="AP37" s="34"/>
      <c r="AQ37" s="34"/>
      <c r="AR37" s="34"/>
      <c r="AS37" s="34"/>
      <c r="AT37" s="34"/>
      <c r="AU37" s="35"/>
      <c r="AV37" s="35"/>
      <c r="AW37" s="35"/>
      <c r="AX37" s="36"/>
      <c r="AY37" s="36"/>
      <c r="AZ37" s="36"/>
      <c r="BA37" s="36">
        <f t="shared" si="42"/>
        <v>0</v>
      </c>
      <c r="BC37" s="37">
        <f t="shared" si="45"/>
        <v>0</v>
      </c>
    </row>
    <row r="38" spans="1:55" s="61" customFormat="1" hidden="1" x14ac:dyDescent="0.2">
      <c r="A38" s="91" t="s">
        <v>88</v>
      </c>
      <c r="B38" s="2">
        <v>334108</v>
      </c>
      <c r="C38" s="27" t="s">
        <v>96</v>
      </c>
      <c r="D38" s="92"/>
      <c r="E38" s="92"/>
      <c r="F38" s="92"/>
      <c r="G38" s="92"/>
      <c r="H38" s="92"/>
      <c r="I38" s="92"/>
      <c r="J38" s="92"/>
      <c r="K38" s="28">
        <v>5750</v>
      </c>
      <c r="L38" s="28"/>
      <c r="M38" s="28"/>
      <c r="N38" s="28">
        <v>5750</v>
      </c>
      <c r="O38" s="28"/>
      <c r="P38" s="28">
        <v>5750</v>
      </c>
      <c r="Q38" s="28">
        <v>5750</v>
      </c>
      <c r="R38" s="28"/>
      <c r="S38" s="28">
        <v>4000</v>
      </c>
      <c r="T38" s="29"/>
      <c r="U38" s="29">
        <v>4000</v>
      </c>
      <c r="V38" s="29">
        <f>+U38-S38</f>
        <v>0</v>
      </c>
      <c r="W38" s="28">
        <v>4000</v>
      </c>
      <c r="X38" s="28">
        <f t="shared" si="46"/>
        <v>0</v>
      </c>
      <c r="Y38" s="31">
        <v>4000</v>
      </c>
      <c r="Z38" s="31">
        <f t="shared" si="3"/>
        <v>0</v>
      </c>
      <c r="AA38" s="31">
        <v>4000</v>
      </c>
      <c r="AB38" s="31">
        <f t="shared" si="48"/>
        <v>0</v>
      </c>
      <c r="AC38" s="31">
        <v>0</v>
      </c>
      <c r="AD38" s="33">
        <f t="shared" si="49"/>
        <v>-4000</v>
      </c>
      <c r="AE38" s="32">
        <v>0</v>
      </c>
      <c r="AF38" s="32">
        <f t="shared" si="43"/>
        <v>0</v>
      </c>
      <c r="AG38" s="32">
        <v>0</v>
      </c>
      <c r="AH38" s="32">
        <f t="shared" si="44"/>
        <v>0</v>
      </c>
      <c r="AI38" s="32">
        <v>0</v>
      </c>
      <c r="AJ38" s="32"/>
      <c r="AK38" s="32"/>
      <c r="AL38" s="65"/>
      <c r="AM38" s="34">
        <f t="shared" si="47"/>
        <v>0</v>
      </c>
      <c r="AN38" s="65"/>
      <c r="AO38" s="65"/>
      <c r="AP38" s="65"/>
      <c r="AQ38" s="65"/>
      <c r="AR38" s="65"/>
      <c r="AS38" s="65"/>
      <c r="AT38" s="65"/>
      <c r="AU38" s="68"/>
      <c r="AV38" s="68"/>
      <c r="AW38" s="68"/>
      <c r="AX38" s="88"/>
      <c r="AY38" s="88"/>
      <c r="AZ38" s="88"/>
      <c r="BA38" s="36">
        <f t="shared" si="42"/>
        <v>0</v>
      </c>
      <c r="BC38" s="37">
        <f t="shared" si="45"/>
        <v>0</v>
      </c>
    </row>
    <row r="39" spans="1:55" s="61" customFormat="1" hidden="1" x14ac:dyDescent="0.2">
      <c r="A39" s="91" t="s">
        <v>88</v>
      </c>
      <c r="B39" s="2">
        <v>334109</v>
      </c>
      <c r="C39" s="27" t="s">
        <v>97</v>
      </c>
      <c r="D39" s="92"/>
      <c r="E39" s="92"/>
      <c r="F39" s="92"/>
      <c r="G39" s="92"/>
      <c r="H39" s="92"/>
      <c r="I39" s="92"/>
      <c r="J39" s="92"/>
      <c r="K39" s="28">
        <v>5750</v>
      </c>
      <c r="L39" s="28"/>
      <c r="M39" s="28"/>
      <c r="N39" s="28">
        <v>5750</v>
      </c>
      <c r="O39" s="28"/>
      <c r="P39" s="28">
        <v>5750</v>
      </c>
      <c r="Q39" s="28">
        <v>5750</v>
      </c>
      <c r="R39" s="28"/>
      <c r="S39" s="28">
        <v>5750</v>
      </c>
      <c r="T39" s="29"/>
      <c r="U39" s="29">
        <v>5750</v>
      </c>
      <c r="V39" s="29">
        <f>+U39-S39</f>
        <v>0</v>
      </c>
      <c r="W39" s="28">
        <v>5750</v>
      </c>
      <c r="X39" s="28">
        <f t="shared" si="46"/>
        <v>0</v>
      </c>
      <c r="Y39" s="31">
        <v>5750</v>
      </c>
      <c r="Z39" s="31">
        <f t="shared" si="3"/>
        <v>0</v>
      </c>
      <c r="AA39" s="31">
        <v>5750</v>
      </c>
      <c r="AB39" s="31">
        <f t="shared" si="48"/>
        <v>0</v>
      </c>
      <c r="AC39" s="31">
        <v>0</v>
      </c>
      <c r="AD39" s="33">
        <f t="shared" si="49"/>
        <v>-5750</v>
      </c>
      <c r="AE39" s="32">
        <v>0</v>
      </c>
      <c r="AF39" s="32">
        <f t="shared" si="43"/>
        <v>0</v>
      </c>
      <c r="AG39" s="32">
        <v>0</v>
      </c>
      <c r="AH39" s="32">
        <f t="shared" si="44"/>
        <v>0</v>
      </c>
      <c r="AI39" s="32">
        <v>0</v>
      </c>
      <c r="AJ39" s="32"/>
      <c r="AK39" s="32"/>
      <c r="AL39" s="65"/>
      <c r="AM39" s="34">
        <f t="shared" si="47"/>
        <v>0</v>
      </c>
      <c r="AN39" s="65"/>
      <c r="AO39" s="65"/>
      <c r="AP39" s="65"/>
      <c r="AQ39" s="65"/>
      <c r="AR39" s="65"/>
      <c r="AS39" s="65"/>
      <c r="AT39" s="65"/>
      <c r="AU39" s="68"/>
      <c r="AV39" s="68"/>
      <c r="AW39" s="68"/>
      <c r="AX39" s="88"/>
      <c r="AY39" s="88"/>
      <c r="AZ39" s="88"/>
      <c r="BA39" s="36">
        <f t="shared" si="42"/>
        <v>0</v>
      </c>
      <c r="BC39" s="37">
        <f t="shared" si="45"/>
        <v>0</v>
      </c>
    </row>
    <row r="40" spans="1:55" hidden="1" x14ac:dyDescent="0.2">
      <c r="A40" s="91" t="s">
        <v>88</v>
      </c>
      <c r="B40" s="2">
        <v>334082</v>
      </c>
      <c r="C40" s="27" t="s">
        <v>98</v>
      </c>
      <c r="D40" s="28"/>
      <c r="E40" s="28"/>
      <c r="F40" s="28"/>
      <c r="G40" s="28"/>
      <c r="H40" s="28"/>
      <c r="I40" s="28"/>
      <c r="J40" s="28"/>
      <c r="K40" s="28"/>
      <c r="L40" s="28"/>
      <c r="M40" s="28">
        <v>4320</v>
      </c>
      <c r="N40" s="28">
        <v>4320</v>
      </c>
      <c r="O40" s="28"/>
      <c r="P40" s="28">
        <v>4320</v>
      </c>
      <c r="Q40" s="28">
        <v>4320</v>
      </c>
      <c r="R40" s="28">
        <v>2750</v>
      </c>
      <c r="S40" s="28">
        <v>4820</v>
      </c>
      <c r="T40" s="29"/>
      <c r="U40" s="29">
        <v>4105</v>
      </c>
      <c r="V40" s="29">
        <v>0</v>
      </c>
      <c r="W40" s="28">
        <v>4105</v>
      </c>
      <c r="X40" s="28">
        <f t="shared" si="46"/>
        <v>0</v>
      </c>
      <c r="Y40" s="31">
        <v>4105</v>
      </c>
      <c r="Z40" s="31">
        <f t="shared" si="3"/>
        <v>0</v>
      </c>
      <c r="AA40" s="31">
        <v>4105</v>
      </c>
      <c r="AB40" s="31">
        <f t="shared" si="48"/>
        <v>0</v>
      </c>
      <c r="AC40" s="31">
        <v>0</v>
      </c>
      <c r="AD40" s="33">
        <f t="shared" si="49"/>
        <v>-4105</v>
      </c>
      <c r="AE40" s="32">
        <v>0</v>
      </c>
      <c r="AF40" s="32">
        <f t="shared" si="43"/>
        <v>0</v>
      </c>
      <c r="AG40" s="32">
        <v>0</v>
      </c>
      <c r="AH40" s="32">
        <f t="shared" si="44"/>
        <v>0</v>
      </c>
      <c r="AI40" s="32">
        <v>0</v>
      </c>
      <c r="AJ40" s="32"/>
      <c r="AK40" s="32"/>
      <c r="AL40" s="34"/>
      <c r="AM40" s="34">
        <f t="shared" si="47"/>
        <v>0</v>
      </c>
      <c r="AN40" s="34"/>
      <c r="AO40" s="34"/>
      <c r="AP40" s="34"/>
      <c r="AQ40" s="34"/>
      <c r="AR40" s="34"/>
      <c r="AS40" s="34"/>
      <c r="AT40" s="34"/>
      <c r="AU40" s="35"/>
      <c r="AV40" s="35"/>
      <c r="AW40" s="35"/>
      <c r="AX40" s="36"/>
      <c r="AY40" s="36"/>
      <c r="AZ40" s="36"/>
      <c r="BA40" s="36">
        <f t="shared" si="42"/>
        <v>0</v>
      </c>
      <c r="BC40" s="37">
        <f t="shared" si="45"/>
        <v>0</v>
      </c>
    </row>
    <row r="41" spans="1:55" hidden="1" x14ac:dyDescent="0.2">
      <c r="A41" s="91" t="s">
        <v>88</v>
      </c>
      <c r="B41" s="55">
        <v>334071</v>
      </c>
      <c r="C41" s="93" t="s">
        <v>99</v>
      </c>
      <c r="D41" s="94"/>
      <c r="E41" s="94"/>
      <c r="F41" s="94"/>
      <c r="G41" s="94"/>
      <c r="H41" s="94"/>
      <c r="I41" s="94"/>
      <c r="J41" s="94"/>
      <c r="K41" s="94"/>
      <c r="L41" s="94"/>
      <c r="M41" s="94">
        <v>4970</v>
      </c>
      <c r="N41" s="94">
        <v>4970</v>
      </c>
      <c r="O41" s="94"/>
      <c r="P41" s="94">
        <v>6000</v>
      </c>
      <c r="Q41" s="94">
        <v>6500</v>
      </c>
      <c r="R41" s="94"/>
      <c r="S41" s="94">
        <v>0</v>
      </c>
      <c r="T41" s="95"/>
      <c r="U41" s="95">
        <v>0</v>
      </c>
      <c r="V41" s="95">
        <f>+U41-S41</f>
        <v>0</v>
      </c>
      <c r="W41" s="94">
        <v>0</v>
      </c>
      <c r="X41" s="28">
        <f t="shared" si="46"/>
        <v>0</v>
      </c>
      <c r="Y41" s="31">
        <v>0</v>
      </c>
      <c r="Z41" s="31">
        <f t="shared" si="3"/>
        <v>0</v>
      </c>
      <c r="AA41" s="31">
        <v>0</v>
      </c>
      <c r="AB41" s="31">
        <f t="shared" si="48"/>
        <v>0</v>
      </c>
      <c r="AC41" s="31">
        <v>0</v>
      </c>
      <c r="AD41" s="33">
        <f t="shared" si="49"/>
        <v>0</v>
      </c>
      <c r="AE41" s="32">
        <v>0</v>
      </c>
      <c r="AF41" s="32">
        <f t="shared" si="43"/>
        <v>0</v>
      </c>
      <c r="AG41" s="32">
        <v>0</v>
      </c>
      <c r="AH41" s="32">
        <f t="shared" si="44"/>
        <v>0</v>
      </c>
      <c r="AI41" s="32">
        <v>0</v>
      </c>
      <c r="AJ41" s="32"/>
      <c r="AK41" s="32"/>
      <c r="AL41" s="34"/>
      <c r="AM41" s="34">
        <f t="shared" si="47"/>
        <v>0</v>
      </c>
      <c r="AN41" s="34"/>
      <c r="AO41" s="34"/>
      <c r="AP41" s="34"/>
      <c r="AQ41" s="34"/>
      <c r="AR41" s="34"/>
      <c r="AS41" s="34"/>
      <c r="AT41" s="34"/>
      <c r="AU41" s="35"/>
      <c r="AV41" s="35"/>
      <c r="AW41" s="35"/>
      <c r="AX41" s="36"/>
      <c r="AY41" s="36"/>
      <c r="AZ41" s="36"/>
      <c r="BA41" s="36">
        <f t="shared" si="42"/>
        <v>0</v>
      </c>
      <c r="BC41" s="37">
        <f t="shared" si="45"/>
        <v>0</v>
      </c>
    </row>
    <row r="42" spans="1:55" hidden="1" x14ac:dyDescent="0.2">
      <c r="A42" s="91" t="s">
        <v>88</v>
      </c>
      <c r="B42" s="55">
        <v>334092</v>
      </c>
      <c r="C42" s="93" t="s">
        <v>100</v>
      </c>
      <c r="D42" s="94"/>
      <c r="E42" s="94"/>
      <c r="F42" s="94"/>
      <c r="G42" s="94"/>
      <c r="H42" s="94"/>
      <c r="I42" s="94"/>
      <c r="J42" s="94"/>
      <c r="K42" s="94"/>
      <c r="L42" s="94"/>
      <c r="M42" s="94">
        <v>1482</v>
      </c>
      <c r="N42" s="94">
        <v>0</v>
      </c>
      <c r="O42" s="94"/>
      <c r="P42" s="94">
        <v>3000</v>
      </c>
      <c r="Q42" s="94">
        <v>0</v>
      </c>
      <c r="R42" s="94"/>
      <c r="S42" s="94">
        <v>0</v>
      </c>
      <c r="T42" s="95"/>
      <c r="U42" s="95">
        <v>0</v>
      </c>
      <c r="V42" s="95">
        <f>+U42-S42</f>
        <v>0</v>
      </c>
      <c r="W42" s="94">
        <v>0</v>
      </c>
      <c r="X42" s="28">
        <f t="shared" si="46"/>
        <v>0</v>
      </c>
      <c r="Y42" s="31">
        <v>0</v>
      </c>
      <c r="Z42" s="31">
        <f t="shared" si="3"/>
        <v>0</v>
      </c>
      <c r="AA42" s="31">
        <v>0</v>
      </c>
      <c r="AB42" s="31">
        <f t="shared" si="48"/>
        <v>0</v>
      </c>
      <c r="AC42" s="31">
        <v>0</v>
      </c>
      <c r="AD42" s="33">
        <f t="shared" si="49"/>
        <v>0</v>
      </c>
      <c r="AE42" s="32">
        <v>0</v>
      </c>
      <c r="AF42" s="32">
        <f t="shared" si="43"/>
        <v>0</v>
      </c>
      <c r="AG42" s="32">
        <v>0</v>
      </c>
      <c r="AH42" s="32">
        <f t="shared" si="44"/>
        <v>0</v>
      </c>
      <c r="AI42" s="32">
        <v>0</v>
      </c>
      <c r="AJ42" s="32"/>
      <c r="AK42" s="32"/>
      <c r="AL42" s="34"/>
      <c r="AM42" s="34">
        <f t="shared" si="47"/>
        <v>0</v>
      </c>
      <c r="AN42" s="34"/>
      <c r="AO42" s="34"/>
      <c r="AP42" s="34"/>
      <c r="AQ42" s="34"/>
      <c r="AR42" s="34"/>
      <c r="AS42" s="34"/>
      <c r="AT42" s="34"/>
      <c r="AU42" s="35"/>
      <c r="AV42" s="35"/>
      <c r="AW42" s="35"/>
      <c r="AX42" s="36"/>
      <c r="AY42" s="36"/>
      <c r="AZ42" s="36"/>
      <c r="BA42" s="36">
        <f t="shared" si="42"/>
        <v>0</v>
      </c>
      <c r="BC42" s="37">
        <f t="shared" si="45"/>
        <v>0</v>
      </c>
    </row>
    <row r="43" spans="1:55" hidden="1" x14ac:dyDescent="0.2">
      <c r="A43" s="91" t="s">
        <v>88</v>
      </c>
      <c r="B43" s="55">
        <v>334088</v>
      </c>
      <c r="C43" s="93" t="s">
        <v>101</v>
      </c>
      <c r="D43" s="94"/>
      <c r="E43" s="94"/>
      <c r="F43" s="94"/>
      <c r="G43" s="94"/>
      <c r="H43" s="94"/>
      <c r="I43" s="94"/>
      <c r="J43" s="94"/>
      <c r="K43" s="94"/>
      <c r="L43" s="94"/>
      <c r="M43" s="94">
        <v>5000</v>
      </c>
      <c r="N43" s="94">
        <v>5000</v>
      </c>
      <c r="O43" s="94"/>
      <c r="P43" s="94">
        <v>5000</v>
      </c>
      <c r="Q43" s="94">
        <v>5000</v>
      </c>
      <c r="R43" s="94"/>
      <c r="S43" s="94">
        <v>5000</v>
      </c>
      <c r="T43" s="95"/>
      <c r="U43" s="95">
        <v>0</v>
      </c>
      <c r="V43" s="95">
        <v>0</v>
      </c>
      <c r="W43" s="94">
        <v>0</v>
      </c>
      <c r="X43" s="28">
        <f t="shared" si="46"/>
        <v>0</v>
      </c>
      <c r="Y43" s="31">
        <v>0</v>
      </c>
      <c r="Z43" s="31">
        <f t="shared" si="3"/>
        <v>0</v>
      </c>
      <c r="AA43" s="31">
        <v>0</v>
      </c>
      <c r="AB43" s="80">
        <f t="shared" si="48"/>
        <v>0</v>
      </c>
      <c r="AC43" s="31">
        <v>0</v>
      </c>
      <c r="AD43" s="33">
        <f t="shared" si="49"/>
        <v>0</v>
      </c>
      <c r="AE43" s="32">
        <v>0</v>
      </c>
      <c r="AF43" s="32">
        <f t="shared" si="43"/>
        <v>0</v>
      </c>
      <c r="AG43" s="32">
        <v>0</v>
      </c>
      <c r="AH43" s="32">
        <f t="shared" si="44"/>
        <v>0</v>
      </c>
      <c r="AI43" s="32">
        <v>0</v>
      </c>
      <c r="AJ43" s="32"/>
      <c r="AK43" s="32"/>
      <c r="AL43" s="34"/>
      <c r="AM43" s="34">
        <f t="shared" si="47"/>
        <v>0</v>
      </c>
      <c r="AN43" s="34"/>
      <c r="AO43" s="34"/>
      <c r="AP43" s="34"/>
      <c r="AQ43" s="34"/>
      <c r="AR43" s="34"/>
      <c r="AS43" s="34"/>
      <c r="AT43" s="34"/>
      <c r="AU43" s="35"/>
      <c r="AV43" s="35"/>
      <c r="AW43" s="35"/>
      <c r="AX43" s="36"/>
      <c r="AY43" s="36"/>
      <c r="AZ43" s="36"/>
      <c r="BA43" s="36">
        <f t="shared" si="42"/>
        <v>0</v>
      </c>
      <c r="BC43" s="37">
        <f t="shared" si="45"/>
        <v>0</v>
      </c>
    </row>
    <row r="44" spans="1:55" hidden="1" x14ac:dyDescent="0.2">
      <c r="A44" s="91" t="s">
        <v>88</v>
      </c>
      <c r="B44" s="2">
        <v>334067</v>
      </c>
      <c r="C44" s="27" t="s">
        <v>102</v>
      </c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>
        <v>5000</v>
      </c>
      <c r="Q44" s="28">
        <v>5500</v>
      </c>
      <c r="R44" s="28"/>
      <c r="S44" s="28">
        <v>7000</v>
      </c>
      <c r="T44" s="29"/>
      <c r="U44" s="29">
        <v>6000</v>
      </c>
      <c r="V44" s="29">
        <v>0</v>
      </c>
      <c r="W44" s="28">
        <v>6000</v>
      </c>
      <c r="X44" s="28">
        <f t="shared" si="46"/>
        <v>0</v>
      </c>
      <c r="Y44" s="31">
        <v>6000</v>
      </c>
      <c r="Z44" s="31">
        <f t="shared" si="3"/>
        <v>0</v>
      </c>
      <c r="AA44" s="31">
        <v>6000</v>
      </c>
      <c r="AB44" s="31">
        <f t="shared" si="48"/>
        <v>0</v>
      </c>
      <c r="AC44" s="31">
        <v>0</v>
      </c>
      <c r="AD44" s="33">
        <f t="shared" si="49"/>
        <v>-6000</v>
      </c>
      <c r="AE44" s="32">
        <v>0</v>
      </c>
      <c r="AF44" s="32">
        <f t="shared" si="43"/>
        <v>0</v>
      </c>
      <c r="AG44" s="32">
        <v>0</v>
      </c>
      <c r="AH44" s="32">
        <f t="shared" si="44"/>
        <v>0</v>
      </c>
      <c r="AI44" s="32">
        <v>0</v>
      </c>
      <c r="AJ44" s="32"/>
      <c r="AK44" s="32"/>
      <c r="AL44" s="34"/>
      <c r="AM44" s="34">
        <f t="shared" si="47"/>
        <v>0</v>
      </c>
      <c r="AN44" s="34"/>
      <c r="AO44" s="34"/>
      <c r="AP44" s="34"/>
      <c r="AQ44" s="34"/>
      <c r="AR44" s="34"/>
      <c r="AS44" s="34"/>
      <c r="AT44" s="34"/>
      <c r="AU44" s="35"/>
      <c r="AV44" s="35"/>
      <c r="AW44" s="35"/>
      <c r="AX44" s="36"/>
      <c r="AY44" s="36"/>
      <c r="AZ44" s="36"/>
      <c r="BA44" s="36">
        <f t="shared" si="42"/>
        <v>0</v>
      </c>
      <c r="BC44" s="37">
        <f t="shared" si="45"/>
        <v>0</v>
      </c>
    </row>
    <row r="45" spans="1:55" hidden="1" x14ac:dyDescent="0.2">
      <c r="A45" s="91" t="s">
        <v>88</v>
      </c>
      <c r="B45" s="2">
        <v>334407</v>
      </c>
      <c r="C45" s="3" t="s">
        <v>103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>
        <v>4820</v>
      </c>
      <c r="T45" s="29"/>
      <c r="U45" s="29">
        <v>4820</v>
      </c>
      <c r="V45" s="29">
        <f>+U45-S45</f>
        <v>0</v>
      </c>
      <c r="W45" s="29">
        <v>4820</v>
      </c>
      <c r="X45" s="29">
        <f t="shared" si="46"/>
        <v>0</v>
      </c>
      <c r="Y45" s="80">
        <v>4820</v>
      </c>
      <c r="Z45" s="80">
        <f t="shared" si="3"/>
        <v>0</v>
      </c>
      <c r="AA45" s="32">
        <v>4820</v>
      </c>
      <c r="AB45" s="32">
        <f t="shared" si="48"/>
        <v>0</v>
      </c>
      <c r="AC45" s="31">
        <v>0</v>
      </c>
      <c r="AD45" s="33">
        <f t="shared" si="49"/>
        <v>-4820</v>
      </c>
      <c r="AE45" s="32">
        <v>0</v>
      </c>
      <c r="AF45" s="32">
        <f t="shared" si="43"/>
        <v>0</v>
      </c>
      <c r="AG45" s="32">
        <v>0</v>
      </c>
      <c r="AH45" s="32">
        <f t="shared" si="44"/>
        <v>0</v>
      </c>
      <c r="AI45" s="32">
        <v>0</v>
      </c>
      <c r="AJ45" s="32"/>
      <c r="AK45" s="32"/>
      <c r="AL45" s="34"/>
      <c r="AM45" s="34">
        <f t="shared" si="47"/>
        <v>0</v>
      </c>
      <c r="AN45" s="34"/>
      <c r="AO45" s="34"/>
      <c r="AP45" s="34"/>
      <c r="AQ45" s="34"/>
      <c r="AR45" s="34"/>
      <c r="AS45" s="34"/>
      <c r="AT45" s="34"/>
      <c r="AU45" s="35"/>
      <c r="AV45" s="35"/>
      <c r="AW45" s="35"/>
      <c r="AX45" s="36"/>
      <c r="AY45" s="36"/>
      <c r="AZ45" s="36"/>
      <c r="BA45" s="36">
        <f t="shared" si="42"/>
        <v>0</v>
      </c>
      <c r="BC45" s="37">
        <f t="shared" si="45"/>
        <v>0</v>
      </c>
    </row>
    <row r="46" spans="1:55" hidden="1" x14ac:dyDescent="0.2">
      <c r="A46" s="91" t="s">
        <v>88</v>
      </c>
      <c r="B46" s="2">
        <v>334409</v>
      </c>
      <c r="C46" s="53" t="s">
        <v>104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>
        <v>0</v>
      </c>
      <c r="Q46" s="54">
        <v>5000</v>
      </c>
      <c r="R46" s="54"/>
      <c r="S46" s="54">
        <v>5500</v>
      </c>
      <c r="T46" s="30"/>
      <c r="U46" s="30">
        <v>5500</v>
      </c>
      <c r="V46" s="30">
        <f>+U46-S46</f>
        <v>0</v>
      </c>
      <c r="W46" s="30">
        <v>5500</v>
      </c>
      <c r="X46" s="30">
        <f t="shared" si="46"/>
        <v>0</v>
      </c>
      <c r="Y46" s="96">
        <v>5500</v>
      </c>
      <c r="Z46" s="96">
        <f t="shared" si="3"/>
        <v>0</v>
      </c>
      <c r="AA46" s="32">
        <v>5500</v>
      </c>
      <c r="AB46" s="32">
        <f t="shared" si="48"/>
        <v>0</v>
      </c>
      <c r="AC46" s="31">
        <v>0</v>
      </c>
      <c r="AD46" s="84">
        <f t="shared" si="49"/>
        <v>-5500</v>
      </c>
      <c r="AE46" s="32">
        <v>0</v>
      </c>
      <c r="AF46" s="32">
        <f t="shared" si="43"/>
        <v>0</v>
      </c>
      <c r="AG46" s="32">
        <v>0</v>
      </c>
      <c r="AH46" s="32">
        <f t="shared" si="44"/>
        <v>0</v>
      </c>
      <c r="AI46" s="32">
        <v>0</v>
      </c>
      <c r="AJ46" s="32"/>
      <c r="AK46" s="32"/>
      <c r="AL46" s="34"/>
      <c r="AM46" s="34">
        <f t="shared" si="47"/>
        <v>0</v>
      </c>
      <c r="AN46" s="34"/>
      <c r="AO46" s="34"/>
      <c r="AP46" s="34"/>
      <c r="AQ46" s="34"/>
      <c r="AR46" s="34"/>
      <c r="AS46" s="34"/>
      <c r="AT46" s="34"/>
      <c r="AU46" s="35"/>
      <c r="AV46" s="35"/>
      <c r="AW46" s="35"/>
      <c r="AX46" s="36"/>
      <c r="AY46" s="36"/>
      <c r="AZ46" s="36"/>
      <c r="BA46" s="36">
        <f t="shared" si="42"/>
        <v>0</v>
      </c>
      <c r="BC46" s="37">
        <f t="shared" si="45"/>
        <v>0</v>
      </c>
    </row>
    <row r="47" spans="1:55" hidden="1" x14ac:dyDescent="0.2">
      <c r="A47" s="97" t="s">
        <v>88</v>
      </c>
      <c r="B47" s="2">
        <v>334430</v>
      </c>
      <c r="C47" s="27" t="s">
        <v>105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>
        <v>0</v>
      </c>
      <c r="V47" s="28">
        <v>0</v>
      </c>
      <c r="W47" s="28">
        <v>0</v>
      </c>
      <c r="X47" s="28">
        <v>0</v>
      </c>
      <c r="Y47" s="32">
        <v>0</v>
      </c>
      <c r="Z47" s="32">
        <f t="shared" si="3"/>
        <v>0</v>
      </c>
      <c r="AA47" s="32">
        <v>1500</v>
      </c>
      <c r="AB47" s="32">
        <f t="shared" si="48"/>
        <v>1500</v>
      </c>
      <c r="AC47" s="32">
        <v>0</v>
      </c>
      <c r="AD47" s="80">
        <f t="shared" si="49"/>
        <v>-1500</v>
      </c>
      <c r="AE47" s="32">
        <v>0</v>
      </c>
      <c r="AF47" s="32">
        <f t="shared" si="43"/>
        <v>0</v>
      </c>
      <c r="AG47" s="32">
        <v>0</v>
      </c>
      <c r="AH47" s="32">
        <f t="shared" si="44"/>
        <v>0</v>
      </c>
      <c r="AI47" s="32">
        <v>0</v>
      </c>
      <c r="AJ47" s="32"/>
      <c r="AK47" s="32"/>
      <c r="AL47" s="34"/>
      <c r="AM47" s="34">
        <f t="shared" si="47"/>
        <v>0</v>
      </c>
      <c r="AN47" s="34"/>
      <c r="AO47" s="34"/>
      <c r="AP47" s="34"/>
      <c r="AQ47" s="34"/>
      <c r="AR47" s="34"/>
      <c r="AS47" s="34"/>
      <c r="AT47" s="34"/>
      <c r="AU47" s="35"/>
      <c r="AV47" s="35"/>
      <c r="AW47" s="35"/>
      <c r="AX47" s="36"/>
      <c r="AY47" s="36"/>
      <c r="AZ47" s="36"/>
      <c r="BA47" s="36">
        <f t="shared" si="42"/>
        <v>0</v>
      </c>
      <c r="BC47" s="37">
        <f t="shared" si="45"/>
        <v>0</v>
      </c>
    </row>
    <row r="48" spans="1:55" hidden="1" x14ac:dyDescent="0.2">
      <c r="A48" s="97" t="s">
        <v>88</v>
      </c>
      <c r="B48" s="2">
        <v>334081</v>
      </c>
      <c r="C48" s="27" t="s">
        <v>106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>
        <v>0</v>
      </c>
      <c r="V48" s="28">
        <v>0</v>
      </c>
      <c r="W48" s="28">
        <v>0</v>
      </c>
      <c r="X48" s="28">
        <v>0</v>
      </c>
      <c r="Y48" s="32">
        <v>0</v>
      </c>
      <c r="Z48" s="32">
        <f t="shared" si="3"/>
        <v>0</v>
      </c>
      <c r="AA48" s="32">
        <v>1500</v>
      </c>
      <c r="AB48" s="32">
        <f t="shared" si="48"/>
        <v>1500</v>
      </c>
      <c r="AC48" s="32">
        <v>0</v>
      </c>
      <c r="AD48" s="80">
        <f t="shared" si="49"/>
        <v>-1500</v>
      </c>
      <c r="AE48" s="32">
        <v>0</v>
      </c>
      <c r="AF48" s="32">
        <f t="shared" si="43"/>
        <v>0</v>
      </c>
      <c r="AG48" s="32">
        <v>0</v>
      </c>
      <c r="AH48" s="32">
        <f t="shared" si="44"/>
        <v>0</v>
      </c>
      <c r="AI48" s="32">
        <v>0</v>
      </c>
      <c r="AJ48" s="32"/>
      <c r="AK48" s="32"/>
      <c r="AL48" s="34"/>
      <c r="AM48" s="34">
        <f t="shared" si="47"/>
        <v>0</v>
      </c>
      <c r="AN48" s="34"/>
      <c r="AO48" s="34"/>
      <c r="AP48" s="34"/>
      <c r="AQ48" s="34"/>
      <c r="AR48" s="34"/>
      <c r="AS48" s="34"/>
      <c r="AT48" s="34"/>
      <c r="AU48" s="35"/>
      <c r="AV48" s="35"/>
      <c r="AW48" s="35"/>
      <c r="AX48" s="36"/>
      <c r="AY48" s="36"/>
      <c r="AZ48" s="36"/>
      <c r="BA48" s="36">
        <f t="shared" si="42"/>
        <v>0</v>
      </c>
      <c r="BC48" s="37">
        <f t="shared" si="45"/>
        <v>0</v>
      </c>
    </row>
    <row r="49" spans="1:56" hidden="1" x14ac:dyDescent="0.2">
      <c r="A49" s="97" t="s">
        <v>88</v>
      </c>
      <c r="B49" s="2">
        <v>334425</v>
      </c>
      <c r="C49" s="27" t="s">
        <v>107</v>
      </c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>
        <v>0</v>
      </c>
      <c r="V49" s="28">
        <v>0</v>
      </c>
      <c r="W49" s="28">
        <v>0</v>
      </c>
      <c r="X49" s="28">
        <v>0</v>
      </c>
      <c r="Y49" s="32">
        <v>0</v>
      </c>
      <c r="Z49" s="32">
        <f t="shared" si="3"/>
        <v>0</v>
      </c>
      <c r="AA49" s="32">
        <v>1500</v>
      </c>
      <c r="AB49" s="32">
        <f t="shared" si="48"/>
        <v>1500</v>
      </c>
      <c r="AC49" s="32">
        <v>0</v>
      </c>
      <c r="AD49" s="80">
        <f t="shared" si="49"/>
        <v>-1500</v>
      </c>
      <c r="AE49" s="32">
        <v>0</v>
      </c>
      <c r="AF49" s="32">
        <f t="shared" si="43"/>
        <v>0</v>
      </c>
      <c r="AG49" s="32">
        <v>0</v>
      </c>
      <c r="AH49" s="32">
        <f t="shared" si="44"/>
        <v>0</v>
      </c>
      <c r="AI49" s="32">
        <v>0</v>
      </c>
      <c r="AJ49" s="32"/>
      <c r="AK49" s="32"/>
      <c r="AL49" s="34"/>
      <c r="AM49" s="34">
        <f t="shared" si="47"/>
        <v>0</v>
      </c>
      <c r="AN49" s="34"/>
      <c r="AO49" s="34"/>
      <c r="AP49" s="34"/>
      <c r="AQ49" s="34"/>
      <c r="AR49" s="34"/>
      <c r="AS49" s="34"/>
      <c r="AT49" s="34"/>
      <c r="AU49" s="35"/>
      <c r="AV49" s="35"/>
      <c r="AW49" s="35"/>
      <c r="AX49" s="36"/>
      <c r="AY49" s="36"/>
      <c r="AZ49" s="36"/>
      <c r="BA49" s="36">
        <f t="shared" si="42"/>
        <v>0</v>
      </c>
      <c r="BC49" s="37">
        <f t="shared" si="45"/>
        <v>0</v>
      </c>
    </row>
    <row r="50" spans="1:56" hidden="1" x14ac:dyDescent="0.2">
      <c r="A50" s="98" t="s">
        <v>88</v>
      </c>
      <c r="B50" s="2">
        <v>334424</v>
      </c>
      <c r="C50" s="53" t="s">
        <v>108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>
        <v>0</v>
      </c>
      <c r="V50" s="54">
        <v>0</v>
      </c>
      <c r="W50" s="54">
        <v>0</v>
      </c>
      <c r="X50" s="54">
        <v>0</v>
      </c>
      <c r="Y50" s="32">
        <v>0</v>
      </c>
      <c r="Z50" s="32">
        <f t="shared" si="3"/>
        <v>0</v>
      </c>
      <c r="AA50" s="32">
        <v>1500</v>
      </c>
      <c r="AB50" s="32">
        <f t="shared" si="48"/>
        <v>1500</v>
      </c>
      <c r="AC50" s="32">
        <v>0</v>
      </c>
      <c r="AD50" s="80">
        <f t="shared" si="49"/>
        <v>-1500</v>
      </c>
      <c r="AE50" s="32">
        <v>0</v>
      </c>
      <c r="AF50" s="32">
        <f t="shared" si="43"/>
        <v>0</v>
      </c>
      <c r="AG50" s="32">
        <v>0</v>
      </c>
      <c r="AH50" s="32">
        <f t="shared" si="44"/>
        <v>0</v>
      </c>
      <c r="AI50" s="32">
        <v>0</v>
      </c>
      <c r="AJ50" s="32"/>
      <c r="AK50" s="32"/>
      <c r="AL50" s="34"/>
      <c r="AM50" s="34">
        <f t="shared" si="47"/>
        <v>0</v>
      </c>
      <c r="AN50" s="34"/>
      <c r="AO50" s="34"/>
      <c r="AP50" s="34"/>
      <c r="AQ50" s="34"/>
      <c r="AR50" s="34"/>
      <c r="AS50" s="34"/>
      <c r="AT50" s="34"/>
      <c r="AU50" s="35"/>
      <c r="AV50" s="35"/>
      <c r="AW50" s="35"/>
      <c r="AX50" s="36"/>
      <c r="AY50" s="36"/>
      <c r="AZ50" s="36"/>
      <c r="BA50" s="36">
        <f t="shared" si="42"/>
        <v>0</v>
      </c>
      <c r="BC50" s="37">
        <f t="shared" si="45"/>
        <v>0</v>
      </c>
    </row>
    <row r="51" spans="1:56" s="61" customFormat="1" x14ac:dyDescent="0.2">
      <c r="B51" s="62"/>
      <c r="C51" s="85" t="s">
        <v>109</v>
      </c>
      <c r="D51" s="86">
        <f>SUM(D31:D39)</f>
        <v>18400</v>
      </c>
      <c r="E51" s="86">
        <f>SUM(E31:E39)</f>
        <v>21000</v>
      </c>
      <c r="F51" s="86">
        <f>SUM(F31:F39)</f>
        <v>21500</v>
      </c>
      <c r="G51" s="86">
        <f>SUM(G31:G39)</f>
        <v>21500</v>
      </c>
      <c r="H51" s="86">
        <f>SUM(H31:H39)</f>
        <v>23000</v>
      </c>
      <c r="I51" s="86"/>
      <c r="J51" s="86">
        <f>SUM(J31:J39)</f>
        <v>26000</v>
      </c>
      <c r="K51" s="86">
        <f>SUM(K31:K39)</f>
        <v>39500</v>
      </c>
      <c r="L51" s="86">
        <f>SUM(L31:L39)</f>
        <v>0</v>
      </c>
      <c r="M51" s="86">
        <f>SUM(M31:M43)</f>
        <v>15772</v>
      </c>
      <c r="N51" s="86">
        <f>SUM(N31:N43)</f>
        <v>56340</v>
      </c>
      <c r="O51" s="86">
        <f>SUM(O31:O43)</f>
        <v>0</v>
      </c>
      <c r="P51" s="86">
        <f t="shared" ref="P51:Y51" si="50">SUM(P31:P46)</f>
        <v>73120</v>
      </c>
      <c r="Q51" s="86">
        <f t="shared" si="50"/>
        <v>77620</v>
      </c>
      <c r="R51" s="86">
        <f t="shared" si="50"/>
        <v>2750</v>
      </c>
      <c r="S51" s="86">
        <f t="shared" si="50"/>
        <v>77190</v>
      </c>
      <c r="T51" s="29">
        <f t="shared" si="50"/>
        <v>900</v>
      </c>
      <c r="U51" s="29">
        <f t="shared" si="50"/>
        <v>68675</v>
      </c>
      <c r="V51" s="29">
        <f t="shared" si="50"/>
        <v>0</v>
      </c>
      <c r="W51" s="86">
        <f t="shared" si="50"/>
        <v>68675</v>
      </c>
      <c r="X51" s="86">
        <f t="shared" si="50"/>
        <v>0</v>
      </c>
      <c r="Y51" s="59">
        <f t="shared" si="50"/>
        <v>68675</v>
      </c>
      <c r="Z51" s="59">
        <f t="shared" si="3"/>
        <v>0</v>
      </c>
      <c r="AA51" s="59">
        <f>SUM(AA29:AA46)</f>
        <v>78675</v>
      </c>
      <c r="AB51" s="59">
        <f>SUM(AB31:AB46)</f>
        <v>0</v>
      </c>
      <c r="AC51" s="59">
        <f t="shared" ref="AC51:AH51" si="51">SUM(AC29:AC50)</f>
        <v>90000</v>
      </c>
      <c r="AD51" s="87">
        <f t="shared" si="51"/>
        <v>5325</v>
      </c>
      <c r="AE51" s="59">
        <f t="shared" si="51"/>
        <v>90000</v>
      </c>
      <c r="AF51" s="59">
        <f t="shared" si="51"/>
        <v>0</v>
      </c>
      <c r="AG51" s="59">
        <f>SUM(AG29:AG50)</f>
        <v>91000</v>
      </c>
      <c r="AH51" s="59">
        <f t="shared" si="51"/>
        <v>1000</v>
      </c>
      <c r="AI51" s="59">
        <f>SUM(AI29:AI50)</f>
        <v>91000</v>
      </c>
      <c r="AJ51" s="59">
        <f t="shared" ref="AJ51:BA51" si="52">SUM(AJ29:AJ50)</f>
        <v>1820</v>
      </c>
      <c r="AK51" s="59">
        <f t="shared" si="52"/>
        <v>89180</v>
      </c>
      <c r="AL51" s="65">
        <f t="shared" si="52"/>
        <v>89180</v>
      </c>
      <c r="AM51" s="65">
        <f t="shared" si="52"/>
        <v>891.80000000000007</v>
      </c>
      <c r="AN51" s="65">
        <f t="shared" si="52"/>
        <v>88288.2</v>
      </c>
      <c r="AO51" s="65">
        <f t="shared" si="52"/>
        <v>88288</v>
      </c>
      <c r="AP51" s="65">
        <f t="shared" si="52"/>
        <v>0</v>
      </c>
      <c r="AQ51" s="65">
        <f t="shared" si="52"/>
        <v>88288</v>
      </c>
      <c r="AR51" s="65">
        <f t="shared" si="52"/>
        <v>88288</v>
      </c>
      <c r="AS51" s="65">
        <f t="shared" si="52"/>
        <v>0</v>
      </c>
      <c r="AT51" s="65">
        <f t="shared" si="52"/>
        <v>88288</v>
      </c>
      <c r="AU51" s="68">
        <f t="shared" si="52"/>
        <v>88288</v>
      </c>
      <c r="AV51" s="68">
        <f t="shared" si="52"/>
        <v>0</v>
      </c>
      <c r="AW51" s="68">
        <f t="shared" si="52"/>
        <v>88288</v>
      </c>
      <c r="AX51" s="88">
        <f t="shared" si="52"/>
        <v>88288</v>
      </c>
      <c r="AY51" s="88">
        <f t="shared" si="52"/>
        <v>7000</v>
      </c>
      <c r="AZ51" s="88">
        <f t="shared" si="52"/>
        <v>20288</v>
      </c>
      <c r="BA51" s="88">
        <f t="shared" si="52"/>
        <v>75000</v>
      </c>
      <c r="BC51" s="70">
        <f>BA51/$BA$74</f>
        <v>6.6443534512543659E-2</v>
      </c>
    </row>
    <row r="52" spans="1:56" x14ac:dyDescent="0.2">
      <c r="S52" s="51"/>
      <c r="T52" s="50"/>
      <c r="U52" s="50"/>
      <c r="V52" s="50"/>
      <c r="W52" s="22"/>
      <c r="X52" s="72"/>
      <c r="Y52" s="89"/>
      <c r="Z52" s="4" t="s">
        <v>24</v>
      </c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1"/>
      <c r="AX52" s="25"/>
      <c r="AY52" s="25"/>
      <c r="AZ52" s="25"/>
      <c r="BA52" s="25"/>
      <c r="BC52" s="25" t="s">
        <v>24</v>
      </c>
    </row>
    <row r="53" spans="1:56" x14ac:dyDescent="0.2">
      <c r="C53" s="20" t="s">
        <v>110</v>
      </c>
      <c r="S53" s="51"/>
      <c r="T53" s="30"/>
      <c r="U53" s="30"/>
      <c r="V53" s="30"/>
      <c r="W53" s="30"/>
      <c r="X53" s="99"/>
      <c r="Y53" s="89"/>
      <c r="Z53" s="4" t="s">
        <v>24</v>
      </c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1"/>
      <c r="AX53" s="25"/>
      <c r="AY53" s="25"/>
      <c r="AZ53" s="25"/>
      <c r="BA53" s="25"/>
      <c r="BC53" s="25" t="s">
        <v>24</v>
      </c>
    </row>
    <row r="54" spans="1:56" ht="12" customHeight="1" x14ac:dyDescent="0.2">
      <c r="A54" s="1" t="s">
        <v>58</v>
      </c>
      <c r="B54" s="38">
        <v>334237</v>
      </c>
      <c r="C54" s="39" t="s">
        <v>111</v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>
        <v>0</v>
      </c>
      <c r="V54" s="40">
        <v>0</v>
      </c>
      <c r="W54" s="40">
        <v>0</v>
      </c>
      <c r="X54" s="100">
        <v>0</v>
      </c>
      <c r="Y54" s="44">
        <v>0</v>
      </c>
      <c r="Z54" s="44">
        <v>0</v>
      </c>
      <c r="AA54" s="44">
        <v>0</v>
      </c>
      <c r="AB54" s="44">
        <v>0</v>
      </c>
      <c r="AC54" s="44">
        <v>80000</v>
      </c>
      <c r="AD54" s="81">
        <f>AC54-AA54</f>
        <v>80000</v>
      </c>
      <c r="AE54" s="44">
        <v>80000</v>
      </c>
      <c r="AF54" s="81">
        <f>AE54-AC54</f>
        <v>0</v>
      </c>
      <c r="AG54" s="44">
        <v>80000</v>
      </c>
      <c r="AH54" s="44">
        <f>AG54-AE54</f>
        <v>0</v>
      </c>
      <c r="AI54" s="44">
        <v>80000</v>
      </c>
      <c r="AJ54" s="44">
        <f>AI54*0.02</f>
        <v>1600</v>
      </c>
      <c r="AK54" s="44">
        <f>AI54-AJ54</f>
        <v>78400</v>
      </c>
      <c r="AL54" s="46">
        <v>78400</v>
      </c>
      <c r="AM54" s="46">
        <f>AL54*0.01</f>
        <v>784</v>
      </c>
      <c r="AN54" s="46">
        <f>AL54-AM54</f>
        <v>77616</v>
      </c>
      <c r="AO54" s="46">
        <v>77616</v>
      </c>
      <c r="AP54" s="46">
        <v>0</v>
      </c>
      <c r="AQ54" s="46">
        <f t="shared" ref="AQ54:AQ68" si="53">AO54+AP54</f>
        <v>77616</v>
      </c>
      <c r="AR54" s="46">
        <v>77616</v>
      </c>
      <c r="AS54" s="46">
        <v>0</v>
      </c>
      <c r="AT54" s="46">
        <f t="shared" ref="AT54:AT68" si="54">AR54+AS54</f>
        <v>77616</v>
      </c>
      <c r="AU54" s="46">
        <v>77616</v>
      </c>
      <c r="AV54" s="46">
        <v>0</v>
      </c>
      <c r="AW54" s="46">
        <f t="shared" ref="AW54:AW56" si="55">AU54+AV54</f>
        <v>77616</v>
      </c>
      <c r="AX54" s="46">
        <v>77616</v>
      </c>
      <c r="AY54" s="46">
        <v>21989</v>
      </c>
      <c r="AZ54" s="46">
        <f>21989+2616</f>
        <v>24605</v>
      </c>
      <c r="BA54" s="46">
        <f t="shared" ref="BA54:BA67" si="56">AX54+AY54-AZ54</f>
        <v>75000</v>
      </c>
      <c r="BB54" s="82"/>
      <c r="BC54" s="83">
        <f t="shared" ref="BC54:BC64" si="57">BA54/$BA$74</f>
        <v>6.6443534512543659E-2</v>
      </c>
      <c r="BD54" s="1" t="s">
        <v>164</v>
      </c>
    </row>
    <row r="55" spans="1:56" ht="12" customHeight="1" x14ac:dyDescent="0.2">
      <c r="B55" s="101" t="s">
        <v>112</v>
      </c>
      <c r="C55" s="102" t="s">
        <v>113</v>
      </c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50"/>
      <c r="U55" s="50"/>
      <c r="V55" s="50"/>
      <c r="W55" s="50"/>
      <c r="X55" s="72"/>
      <c r="Y55" s="79"/>
      <c r="Z55" s="104"/>
      <c r="AA55" s="104"/>
      <c r="AB55" s="79"/>
      <c r="AC55" s="104"/>
      <c r="AD55" s="78"/>
      <c r="AE55" s="104"/>
      <c r="AF55" s="78"/>
      <c r="AG55" s="32"/>
      <c r="AH55" s="32"/>
      <c r="AI55" s="32"/>
      <c r="AJ55" s="32"/>
      <c r="AK55" s="32"/>
      <c r="AL55" s="34"/>
      <c r="AM55" s="34"/>
      <c r="AN55" s="34"/>
      <c r="AO55" s="34"/>
      <c r="AP55" s="34"/>
      <c r="AQ55" s="105"/>
      <c r="AR55" s="105"/>
      <c r="AS55" s="105"/>
      <c r="AT55" s="105"/>
      <c r="AU55" s="105"/>
      <c r="AV55" s="105"/>
      <c r="AW55" s="105"/>
      <c r="AX55" s="105"/>
      <c r="AY55" s="105">
        <v>2500</v>
      </c>
      <c r="AZ55" s="105"/>
      <c r="BA55" s="105">
        <f t="shared" si="56"/>
        <v>2500</v>
      </c>
      <c r="BC55" s="238">
        <f t="shared" si="57"/>
        <v>2.2147844837514551E-3</v>
      </c>
    </row>
    <row r="56" spans="1:56" x14ac:dyDescent="0.2">
      <c r="B56" s="106">
        <v>334151</v>
      </c>
      <c r="C56" s="107" t="s">
        <v>114</v>
      </c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9"/>
      <c r="U56" s="109"/>
      <c r="V56" s="109"/>
      <c r="W56" s="109"/>
      <c r="X56" s="110"/>
      <c r="Y56" s="111"/>
      <c r="Z56" s="112"/>
      <c r="AA56" s="112"/>
      <c r="AB56" s="111"/>
      <c r="AC56" s="112"/>
      <c r="AD56" s="113"/>
      <c r="AE56" s="112"/>
      <c r="AF56" s="113"/>
      <c r="AG56" s="44"/>
      <c r="AH56" s="44"/>
      <c r="AI56" s="44"/>
      <c r="AJ56" s="44"/>
      <c r="AK56" s="44"/>
      <c r="AL56" s="46"/>
      <c r="AM56" s="46"/>
      <c r="AN56" s="46"/>
      <c r="AO56" s="46">
        <v>3000</v>
      </c>
      <c r="AP56" s="46">
        <v>0</v>
      </c>
      <c r="AQ56" s="46">
        <f t="shared" si="53"/>
        <v>3000</v>
      </c>
      <c r="AR56" s="46">
        <v>3000</v>
      </c>
      <c r="AS56" s="46">
        <v>0</v>
      </c>
      <c r="AT56" s="46">
        <f t="shared" si="54"/>
        <v>3000</v>
      </c>
      <c r="AU56" s="46">
        <v>3000</v>
      </c>
      <c r="AV56" s="46">
        <v>0</v>
      </c>
      <c r="AW56" s="46">
        <f t="shared" si="55"/>
        <v>3000</v>
      </c>
      <c r="AX56" s="46">
        <v>3000</v>
      </c>
      <c r="AY56" s="46">
        <v>3000</v>
      </c>
      <c r="AZ56" s="46">
        <v>0</v>
      </c>
      <c r="BA56" s="46">
        <f t="shared" si="56"/>
        <v>6000</v>
      </c>
      <c r="BB56" s="82"/>
      <c r="BC56" s="83">
        <f t="shared" si="57"/>
        <v>5.3154827610034918E-3</v>
      </c>
    </row>
    <row r="57" spans="1:56" ht="12" customHeight="1" x14ac:dyDescent="0.2">
      <c r="B57" s="2">
        <v>334032</v>
      </c>
      <c r="C57" s="114" t="s">
        <v>115</v>
      </c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50"/>
      <c r="U57" s="50"/>
      <c r="V57" s="50"/>
      <c r="W57" s="50"/>
      <c r="X57" s="72"/>
      <c r="Y57" s="115">
        <v>0</v>
      </c>
      <c r="Z57" s="104">
        <v>0</v>
      </c>
      <c r="AA57" s="104">
        <v>0</v>
      </c>
      <c r="AB57" s="115"/>
      <c r="AC57" s="104">
        <v>0</v>
      </c>
      <c r="AD57" s="104">
        <v>0</v>
      </c>
      <c r="AE57" s="104">
        <v>80640</v>
      </c>
      <c r="AF57" s="78">
        <f>AE57-AC57</f>
        <v>80640</v>
      </c>
      <c r="AG57" s="32">
        <v>80640</v>
      </c>
      <c r="AH57" s="32">
        <f>AG57-AE57</f>
        <v>0</v>
      </c>
      <c r="AI57" s="32">
        <v>80640</v>
      </c>
      <c r="AJ57" s="32">
        <f>AI57*0.02</f>
        <v>1612.8</v>
      </c>
      <c r="AK57" s="32">
        <f>AI57-AJ57</f>
        <v>79027.199999999997</v>
      </c>
      <c r="AL57" s="34">
        <v>79027.199999999997</v>
      </c>
      <c r="AM57" s="116">
        <v>8467</v>
      </c>
      <c r="AN57" s="34">
        <f>AL57-AM57</f>
        <v>70560.2</v>
      </c>
      <c r="AO57" s="34">
        <v>70560</v>
      </c>
      <c r="AP57" s="34">
        <v>0</v>
      </c>
      <c r="AQ57" s="34">
        <f t="shared" si="53"/>
        <v>70560</v>
      </c>
      <c r="AR57" s="34">
        <v>70560</v>
      </c>
      <c r="AS57" s="34">
        <v>-6552</v>
      </c>
      <c r="AT57" s="34">
        <f>AR57+AS57</f>
        <v>64008</v>
      </c>
      <c r="AU57" s="35">
        <v>64008</v>
      </c>
      <c r="AV57" s="35">
        <v>-5644</v>
      </c>
      <c r="AW57" s="35">
        <f>AU57+AV57</f>
        <v>58364</v>
      </c>
      <c r="AX57" s="36">
        <v>58364</v>
      </c>
      <c r="AY57" s="36"/>
      <c r="AZ57" s="36">
        <v>0</v>
      </c>
      <c r="BA57" s="36">
        <f t="shared" si="56"/>
        <v>58364</v>
      </c>
      <c r="BB57" s="1" t="s">
        <v>116</v>
      </c>
      <c r="BC57" s="37">
        <f t="shared" si="57"/>
        <v>5.1705472643867968E-2</v>
      </c>
    </row>
    <row r="58" spans="1:56" x14ac:dyDescent="0.2">
      <c r="A58" s="1" t="s">
        <v>58</v>
      </c>
      <c r="B58" s="2">
        <v>334130</v>
      </c>
      <c r="C58" s="114" t="s">
        <v>117</v>
      </c>
      <c r="D58" s="103">
        <v>54100</v>
      </c>
      <c r="E58" s="103">
        <v>54100</v>
      </c>
      <c r="F58" s="103">
        <v>54100</v>
      </c>
      <c r="G58" s="103">
        <v>54100</v>
      </c>
      <c r="H58" s="103">
        <v>54100</v>
      </c>
      <c r="I58" s="103"/>
      <c r="J58" s="103">
        <v>54100</v>
      </c>
      <c r="K58" s="103">
        <v>54100</v>
      </c>
      <c r="L58" s="103"/>
      <c r="M58" s="103"/>
      <c r="N58" s="103">
        <v>54100</v>
      </c>
      <c r="O58" s="103"/>
      <c r="P58" s="103">
        <v>54100</v>
      </c>
      <c r="Q58" s="103">
        <v>54100</v>
      </c>
      <c r="R58" s="103"/>
      <c r="S58" s="103">
        <v>64100</v>
      </c>
      <c r="T58" s="50"/>
      <c r="U58" s="50">
        <v>64100</v>
      </c>
      <c r="V58" s="50">
        <f>+U58-S58</f>
        <v>0</v>
      </c>
      <c r="W58" s="50">
        <v>64100</v>
      </c>
      <c r="X58" s="50">
        <f t="shared" ref="X58:X68" si="58">+W58-U58</f>
        <v>0</v>
      </c>
      <c r="Y58" s="79">
        <v>66600</v>
      </c>
      <c r="Z58" s="104">
        <f t="shared" si="3"/>
        <v>2500</v>
      </c>
      <c r="AA58" s="104">
        <v>40767</v>
      </c>
      <c r="AB58" s="79">
        <f>AA58-Y58</f>
        <v>-25833</v>
      </c>
      <c r="AC58" s="104">
        <v>40767</v>
      </c>
      <c r="AD58" s="104">
        <f>AC58-AA58</f>
        <v>0</v>
      </c>
      <c r="AE58" s="79">
        <v>40767</v>
      </c>
      <c r="AF58" s="78">
        <f t="shared" ref="AF58:AF68" si="59">AE58-AC58</f>
        <v>0</v>
      </c>
      <c r="AG58" s="32">
        <v>41874</v>
      </c>
      <c r="AH58" s="32">
        <f t="shared" ref="AH58:AH61" si="60">AG58-AE58</f>
        <v>1107</v>
      </c>
      <c r="AI58" s="32">
        <v>41874</v>
      </c>
      <c r="AJ58" s="32">
        <f>AI58*0.02</f>
        <v>837.48</v>
      </c>
      <c r="AK58" s="32">
        <f>AI58-AJ58</f>
        <v>41036.519999999997</v>
      </c>
      <c r="AL58" s="34">
        <v>41037</v>
      </c>
      <c r="AM58" s="34">
        <v>7751</v>
      </c>
      <c r="AN58" s="34">
        <f>AL58+AM58</f>
        <v>48788</v>
      </c>
      <c r="AO58" s="34">
        <v>48788</v>
      </c>
      <c r="AP58" s="34">
        <v>732</v>
      </c>
      <c r="AQ58" s="34">
        <f t="shared" si="53"/>
        <v>49520</v>
      </c>
      <c r="AR58" s="34">
        <v>49520</v>
      </c>
      <c r="AS58" s="34">
        <v>2890</v>
      </c>
      <c r="AT58" s="34">
        <f>AR58+AS58</f>
        <v>52410</v>
      </c>
      <c r="AU58" s="35">
        <v>52410</v>
      </c>
      <c r="AV58" s="35">
        <v>0</v>
      </c>
      <c r="AW58" s="35">
        <f>AU58+AV58</f>
        <v>52410</v>
      </c>
      <c r="AX58" s="36">
        <v>52410</v>
      </c>
      <c r="AY58" s="36"/>
      <c r="AZ58" s="36">
        <v>0</v>
      </c>
      <c r="BA58" s="36">
        <f t="shared" si="56"/>
        <v>52410</v>
      </c>
      <c r="BC58" s="37">
        <f>BA58/$BA$74</f>
        <v>4.6430741917365508E-2</v>
      </c>
    </row>
    <row r="59" spans="1:56" x14ac:dyDescent="0.2">
      <c r="A59" s="1" t="s">
        <v>58</v>
      </c>
      <c r="B59" s="2">
        <v>334421</v>
      </c>
      <c r="C59" s="27" t="s">
        <v>118</v>
      </c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>
        <v>0</v>
      </c>
      <c r="Q59" s="49">
        <v>10000</v>
      </c>
      <c r="R59" s="49"/>
      <c r="S59" s="49">
        <v>15000</v>
      </c>
      <c r="T59" s="29"/>
      <c r="U59" s="29">
        <v>15000</v>
      </c>
      <c r="V59" s="29">
        <f>+U59-S59</f>
        <v>0</v>
      </c>
      <c r="W59" s="29">
        <v>15000</v>
      </c>
      <c r="X59" s="29">
        <f t="shared" si="58"/>
        <v>0</v>
      </c>
      <c r="Y59" s="32">
        <v>15000</v>
      </c>
      <c r="Z59" s="31">
        <f t="shared" si="3"/>
        <v>0</v>
      </c>
      <c r="AA59" s="31">
        <v>15000</v>
      </c>
      <c r="AB59" s="79">
        <f t="shared" ref="AB59:AB68" si="61">AA59-Y59</f>
        <v>0</v>
      </c>
      <c r="AC59" s="104">
        <v>15000</v>
      </c>
      <c r="AD59" s="104">
        <f t="shared" ref="AD59:AD65" si="62">AC59-AA59</f>
        <v>0</v>
      </c>
      <c r="AE59" s="79">
        <v>15000</v>
      </c>
      <c r="AF59" s="78">
        <f t="shared" si="59"/>
        <v>0</v>
      </c>
      <c r="AG59" s="32">
        <v>15000</v>
      </c>
      <c r="AH59" s="32">
        <f t="shared" si="60"/>
        <v>0</v>
      </c>
      <c r="AI59" s="32">
        <v>15000</v>
      </c>
      <c r="AJ59" s="32">
        <f>AI59*0.02</f>
        <v>300</v>
      </c>
      <c r="AK59" s="32">
        <f>AI59-AJ59</f>
        <v>14700</v>
      </c>
      <c r="AL59" s="34">
        <v>14700</v>
      </c>
      <c r="AM59" s="34">
        <f>AL59*0.01</f>
        <v>147</v>
      </c>
      <c r="AN59" s="34">
        <f>AL59-AM59</f>
        <v>14553</v>
      </c>
      <c r="AO59" s="34">
        <v>14553</v>
      </c>
      <c r="AP59" s="34">
        <v>0</v>
      </c>
      <c r="AQ59" s="34">
        <f t="shared" si="53"/>
        <v>14553</v>
      </c>
      <c r="AR59" s="34">
        <v>14553</v>
      </c>
      <c r="AS59" s="34">
        <v>0</v>
      </c>
      <c r="AT59" s="34">
        <f t="shared" si="54"/>
        <v>14553</v>
      </c>
      <c r="AU59" s="35">
        <v>14553</v>
      </c>
      <c r="AV59" s="35">
        <v>0</v>
      </c>
      <c r="AW59" s="35">
        <f t="shared" ref="AW59:AW68" si="63">AU59+AV59</f>
        <v>14553</v>
      </c>
      <c r="AX59" s="36">
        <v>14553</v>
      </c>
      <c r="AY59" s="36"/>
      <c r="AZ59" s="36">
        <v>0</v>
      </c>
      <c r="BA59" s="36">
        <f t="shared" si="56"/>
        <v>14553</v>
      </c>
      <c r="BC59" s="37">
        <f t="shared" si="57"/>
        <v>1.2892703436813971E-2</v>
      </c>
    </row>
    <row r="60" spans="1:56" x14ac:dyDescent="0.2">
      <c r="A60" s="1" t="s">
        <v>58</v>
      </c>
      <c r="B60" s="2">
        <v>334220</v>
      </c>
      <c r="C60" s="27" t="s">
        <v>119</v>
      </c>
      <c r="D60" s="28">
        <v>2250</v>
      </c>
      <c r="E60" s="28">
        <v>2250</v>
      </c>
      <c r="F60" s="28">
        <v>2400</v>
      </c>
      <c r="G60" s="28">
        <v>2400</v>
      </c>
      <c r="H60" s="28">
        <v>2400</v>
      </c>
      <c r="I60" s="28"/>
      <c r="J60" s="28">
        <v>2500</v>
      </c>
      <c r="K60" s="28">
        <v>2500</v>
      </c>
      <c r="L60" s="28"/>
      <c r="M60" s="28"/>
      <c r="N60" s="28">
        <v>2500</v>
      </c>
      <c r="O60" s="28"/>
      <c r="P60" s="28">
        <v>2500</v>
      </c>
      <c r="Q60" s="28">
        <v>2600</v>
      </c>
      <c r="R60" s="28"/>
      <c r="S60" s="28">
        <v>2700</v>
      </c>
      <c r="T60" s="29"/>
      <c r="U60" s="29">
        <v>2700</v>
      </c>
      <c r="V60" s="29">
        <f>+U60-S60</f>
        <v>0</v>
      </c>
      <c r="W60" s="29">
        <v>2700</v>
      </c>
      <c r="X60" s="29">
        <f t="shared" si="58"/>
        <v>0</v>
      </c>
      <c r="Y60" s="32">
        <v>2700</v>
      </c>
      <c r="Z60" s="31">
        <f t="shared" si="3"/>
        <v>0</v>
      </c>
      <c r="AA60" s="31">
        <v>2700</v>
      </c>
      <c r="AB60" s="79">
        <f t="shared" si="61"/>
        <v>0</v>
      </c>
      <c r="AC60" s="104">
        <v>2700</v>
      </c>
      <c r="AD60" s="104">
        <f t="shared" si="62"/>
        <v>0</v>
      </c>
      <c r="AE60" s="79">
        <v>2700</v>
      </c>
      <c r="AF60" s="78">
        <f t="shared" si="59"/>
        <v>0</v>
      </c>
      <c r="AG60" s="32">
        <v>2700</v>
      </c>
      <c r="AH60" s="32">
        <f t="shared" si="60"/>
        <v>0</v>
      </c>
      <c r="AI60" s="32">
        <v>2700</v>
      </c>
      <c r="AJ60" s="32">
        <v>0</v>
      </c>
      <c r="AK60" s="32">
        <v>2700</v>
      </c>
      <c r="AL60" s="34">
        <v>2700</v>
      </c>
      <c r="AM60" s="34">
        <v>300</v>
      </c>
      <c r="AN60" s="34">
        <f>AL60-AM60</f>
        <v>2400</v>
      </c>
      <c r="AO60" s="34">
        <v>2400</v>
      </c>
      <c r="AP60" s="34">
        <v>0</v>
      </c>
      <c r="AQ60" s="34">
        <f t="shared" si="53"/>
        <v>2400</v>
      </c>
      <c r="AR60" s="34">
        <v>2400</v>
      </c>
      <c r="AS60" s="34">
        <v>0</v>
      </c>
      <c r="AT60" s="34">
        <f t="shared" si="54"/>
        <v>2400</v>
      </c>
      <c r="AU60" s="35">
        <v>2400</v>
      </c>
      <c r="AV60" s="35">
        <v>0</v>
      </c>
      <c r="AW60" s="35">
        <f t="shared" si="63"/>
        <v>2400</v>
      </c>
      <c r="AX60" s="36">
        <v>2400</v>
      </c>
      <c r="AY60" s="36"/>
      <c r="AZ60" s="36">
        <v>0</v>
      </c>
      <c r="BA60" s="36">
        <f t="shared" si="56"/>
        <v>2400</v>
      </c>
      <c r="BC60" s="37">
        <f t="shared" si="57"/>
        <v>2.126193104401397E-3</v>
      </c>
    </row>
    <row r="61" spans="1:56" x14ac:dyDescent="0.2">
      <c r="A61" s="1" t="s">
        <v>58</v>
      </c>
      <c r="B61" s="2">
        <v>334372</v>
      </c>
      <c r="C61" s="27" t="s">
        <v>120</v>
      </c>
      <c r="D61" s="28">
        <v>3000</v>
      </c>
      <c r="E61" s="28">
        <v>3000</v>
      </c>
      <c r="F61" s="28">
        <v>5000</v>
      </c>
      <c r="G61" s="28">
        <v>5000</v>
      </c>
      <c r="H61" s="28">
        <v>5500</v>
      </c>
      <c r="I61" s="28"/>
      <c r="J61" s="28">
        <v>5500</v>
      </c>
      <c r="K61" s="28">
        <v>6000</v>
      </c>
      <c r="L61" s="28"/>
      <c r="M61" s="28"/>
      <c r="N61" s="28">
        <v>6300</v>
      </c>
      <c r="O61" s="28"/>
      <c r="P61" s="28">
        <v>6489</v>
      </c>
      <c r="Q61" s="28">
        <v>7373</v>
      </c>
      <c r="R61" s="28"/>
      <c r="S61" s="28">
        <v>8650</v>
      </c>
      <c r="T61" s="29"/>
      <c r="U61" s="29">
        <v>8910</v>
      </c>
      <c r="V61" s="29">
        <v>0</v>
      </c>
      <c r="W61" s="29">
        <v>8910</v>
      </c>
      <c r="X61" s="29">
        <f t="shared" si="58"/>
        <v>0</v>
      </c>
      <c r="Y61" s="32">
        <v>8935</v>
      </c>
      <c r="Z61" s="31">
        <f t="shared" si="3"/>
        <v>25</v>
      </c>
      <c r="AA61" s="31">
        <v>9213</v>
      </c>
      <c r="AB61" s="79">
        <f t="shared" si="61"/>
        <v>278</v>
      </c>
      <c r="AC61" s="104">
        <v>9706</v>
      </c>
      <c r="AD61" s="104">
        <f t="shared" si="62"/>
        <v>493</v>
      </c>
      <c r="AE61" s="32">
        <f>9997-145</f>
        <v>9852</v>
      </c>
      <c r="AF61" s="80">
        <f t="shared" si="59"/>
        <v>146</v>
      </c>
      <c r="AG61" s="32">
        <v>10148</v>
      </c>
      <c r="AH61" s="32">
        <f t="shared" si="60"/>
        <v>296</v>
      </c>
      <c r="AI61" s="32">
        <v>10148</v>
      </c>
      <c r="AJ61" s="32">
        <f>AI61*0.02</f>
        <v>202.96</v>
      </c>
      <c r="AK61" s="32">
        <f>AI61-AJ61</f>
        <v>9945.0400000000009</v>
      </c>
      <c r="AL61" s="34">
        <v>9945.0400000000009</v>
      </c>
      <c r="AM61" s="34">
        <f>AL61*0.01</f>
        <v>99.450400000000016</v>
      </c>
      <c r="AN61" s="34">
        <f t="shared" ref="AN61:AN68" si="64">AL61-AM61</f>
        <v>9845.5896000000012</v>
      </c>
      <c r="AO61" s="34">
        <v>9846</v>
      </c>
      <c r="AP61" s="34">
        <v>0</v>
      </c>
      <c r="AQ61" s="34">
        <f t="shared" si="53"/>
        <v>9846</v>
      </c>
      <c r="AR61" s="34">
        <v>9846</v>
      </c>
      <c r="AS61" s="34">
        <v>0</v>
      </c>
      <c r="AT61" s="34">
        <f t="shared" si="54"/>
        <v>9846</v>
      </c>
      <c r="AU61" s="35">
        <v>9846</v>
      </c>
      <c r="AV61" s="35">
        <v>0</v>
      </c>
      <c r="AW61" s="35">
        <f t="shared" si="63"/>
        <v>9846</v>
      </c>
      <c r="AX61" s="36">
        <v>9846</v>
      </c>
      <c r="AY61" s="36"/>
      <c r="AZ61" s="36">
        <v>0</v>
      </c>
      <c r="BA61" s="36">
        <f t="shared" si="56"/>
        <v>9846</v>
      </c>
      <c r="BC61" s="37">
        <f t="shared" si="57"/>
        <v>8.7227072108067311E-3</v>
      </c>
    </row>
    <row r="62" spans="1:56" ht="24.75" customHeight="1" x14ac:dyDescent="0.2">
      <c r="A62" s="1" t="s">
        <v>58</v>
      </c>
      <c r="B62" s="2">
        <v>334019</v>
      </c>
      <c r="C62" s="27" t="s">
        <v>121</v>
      </c>
      <c r="D62" s="28">
        <v>26000</v>
      </c>
      <c r="E62" s="28">
        <v>26000</v>
      </c>
      <c r="F62" s="28">
        <v>26000</v>
      </c>
      <c r="G62" s="28">
        <v>26000</v>
      </c>
      <c r="H62" s="28">
        <v>26000</v>
      </c>
      <c r="I62" s="28"/>
      <c r="J62" s="28">
        <v>26000</v>
      </c>
      <c r="K62" s="28">
        <v>26000</v>
      </c>
      <c r="L62" s="28"/>
      <c r="M62" s="28"/>
      <c r="N62" s="28">
        <v>26000</v>
      </c>
      <c r="O62" s="28"/>
      <c r="P62" s="28">
        <v>26000</v>
      </c>
      <c r="Q62" s="28">
        <v>40000</v>
      </c>
      <c r="R62" s="28"/>
      <c r="S62" s="28">
        <v>49800</v>
      </c>
      <c r="T62" s="29"/>
      <c r="U62" s="29">
        <v>49800</v>
      </c>
      <c r="V62" s="29">
        <f>+U62-S62</f>
        <v>0</v>
      </c>
      <c r="W62" s="29">
        <v>49800</v>
      </c>
      <c r="X62" s="29">
        <f t="shared" si="58"/>
        <v>0</v>
      </c>
      <c r="Y62" s="32">
        <v>49800</v>
      </c>
      <c r="Z62" s="31">
        <f t="shared" si="3"/>
        <v>0</v>
      </c>
      <c r="AA62" s="31">
        <v>49800</v>
      </c>
      <c r="AB62" s="79">
        <f t="shared" si="61"/>
        <v>0</v>
      </c>
      <c r="AC62" s="104">
        <v>49800</v>
      </c>
      <c r="AD62" s="104">
        <f t="shared" si="62"/>
        <v>0</v>
      </c>
      <c r="AE62" s="32">
        <f>54000-2100</f>
        <v>51900</v>
      </c>
      <c r="AF62" s="80">
        <f>AE62-AC62</f>
        <v>2100</v>
      </c>
      <c r="AG62" s="32">
        <v>55000</v>
      </c>
      <c r="AH62" s="32">
        <f>AG62-AE62</f>
        <v>3100</v>
      </c>
      <c r="AI62" s="32">
        <v>55000</v>
      </c>
      <c r="AJ62" s="32">
        <f>AI62*0.02</f>
        <v>1100</v>
      </c>
      <c r="AK62" s="32">
        <f>AI62-AJ62</f>
        <v>53900</v>
      </c>
      <c r="AL62" s="34">
        <v>53900</v>
      </c>
      <c r="AM62" s="34">
        <f>AL62*0.01</f>
        <v>539</v>
      </c>
      <c r="AN62" s="34">
        <f t="shared" si="64"/>
        <v>53361</v>
      </c>
      <c r="AO62" s="34">
        <v>53361</v>
      </c>
      <c r="AP62" s="34">
        <v>539</v>
      </c>
      <c r="AQ62" s="34">
        <f t="shared" si="53"/>
        <v>53900</v>
      </c>
      <c r="AR62" s="34">
        <v>53900</v>
      </c>
      <c r="AS62" s="34">
        <v>0</v>
      </c>
      <c r="AT62" s="34">
        <f t="shared" si="54"/>
        <v>53900</v>
      </c>
      <c r="AU62" s="35">
        <v>53900</v>
      </c>
      <c r="AV62" s="35">
        <v>0</v>
      </c>
      <c r="AW62" s="35">
        <f t="shared" si="63"/>
        <v>53900</v>
      </c>
      <c r="AX62" s="36">
        <v>53900</v>
      </c>
      <c r="AY62" s="36"/>
      <c r="AZ62" s="36">
        <v>3900</v>
      </c>
      <c r="BA62" s="36">
        <f t="shared" si="56"/>
        <v>50000</v>
      </c>
      <c r="BB62" s="1" t="s">
        <v>122</v>
      </c>
      <c r="BC62" s="37">
        <f t="shared" si="57"/>
        <v>4.4295689675029101E-2</v>
      </c>
    </row>
    <row r="63" spans="1:56" x14ac:dyDescent="0.2">
      <c r="A63" s="1" t="s">
        <v>58</v>
      </c>
      <c r="B63" s="2">
        <v>334279</v>
      </c>
      <c r="C63" s="27" t="s">
        <v>123</v>
      </c>
      <c r="D63" s="28">
        <v>25000</v>
      </c>
      <c r="E63" s="28">
        <v>27000</v>
      </c>
      <c r="F63" s="28">
        <v>29600</v>
      </c>
      <c r="G63" s="28">
        <v>35520</v>
      </c>
      <c r="H63" s="28">
        <f>47592+1000</f>
        <v>48592</v>
      </c>
      <c r="I63" s="28"/>
      <c r="J63" s="28">
        <v>55192</v>
      </c>
      <c r="K63" s="28">
        <v>58192</v>
      </c>
      <c r="L63" s="28"/>
      <c r="M63" s="28"/>
      <c r="N63" s="28">
        <f>58192+3300</f>
        <v>61492</v>
      </c>
      <c r="O63" s="28">
        <v>18900</v>
      </c>
      <c r="P63" s="28">
        <v>63992</v>
      </c>
      <c r="Q63" s="28">
        <v>63992</v>
      </c>
      <c r="R63" s="28"/>
      <c r="S63" s="28">
        <v>63992</v>
      </c>
      <c r="T63" s="29">
        <v>21000</v>
      </c>
      <c r="U63" s="29">
        <v>63992</v>
      </c>
      <c r="V63" s="29">
        <f>+U63-S63</f>
        <v>0</v>
      </c>
      <c r="W63" s="29">
        <v>0</v>
      </c>
      <c r="X63" s="29">
        <f t="shared" si="58"/>
        <v>-63992</v>
      </c>
      <c r="Y63" s="32">
        <v>0</v>
      </c>
      <c r="Z63" s="31">
        <f>+Y63-W63</f>
        <v>0</v>
      </c>
      <c r="AA63" s="31">
        <v>63992</v>
      </c>
      <c r="AB63" s="79">
        <f t="shared" si="61"/>
        <v>63992</v>
      </c>
      <c r="AC63" s="104">
        <v>63992</v>
      </c>
      <c r="AD63" s="104">
        <f t="shared" si="62"/>
        <v>0</v>
      </c>
      <c r="AE63" s="79">
        <v>63992</v>
      </c>
      <c r="AF63" s="78">
        <f t="shared" si="59"/>
        <v>0</v>
      </c>
      <c r="AG63" s="32">
        <v>63992</v>
      </c>
      <c r="AH63" s="32">
        <f t="shared" ref="AH63:AH68" si="65">AG63-AE63</f>
        <v>0</v>
      </c>
      <c r="AI63" s="32">
        <f>65000</f>
        <v>65000</v>
      </c>
      <c r="AJ63" s="117">
        <v>0</v>
      </c>
      <c r="AK63" s="32">
        <v>65000</v>
      </c>
      <c r="AL63" s="34">
        <v>65000</v>
      </c>
      <c r="AM63" s="34">
        <v>2500</v>
      </c>
      <c r="AN63" s="34">
        <f>AL63+AM63</f>
        <v>67500</v>
      </c>
      <c r="AO63" s="34">
        <v>67500</v>
      </c>
      <c r="AP63" s="34">
        <v>3500</v>
      </c>
      <c r="AQ63" s="34">
        <f t="shared" si="53"/>
        <v>71000</v>
      </c>
      <c r="AR63" s="34">
        <v>71000</v>
      </c>
      <c r="AS63" s="34">
        <v>6000</v>
      </c>
      <c r="AT63" s="34">
        <f t="shared" si="54"/>
        <v>77000</v>
      </c>
      <c r="AU63" s="35">
        <v>77000</v>
      </c>
      <c r="AV63" s="35">
        <v>-5000</v>
      </c>
      <c r="AW63" s="35">
        <f t="shared" si="63"/>
        <v>72000</v>
      </c>
      <c r="AX63" s="36">
        <v>72000</v>
      </c>
      <c r="AY63" s="36"/>
      <c r="AZ63" s="36">
        <v>5000</v>
      </c>
      <c r="BA63" s="36">
        <f t="shared" si="56"/>
        <v>67000</v>
      </c>
      <c r="BB63" s="1" t="s">
        <v>122</v>
      </c>
      <c r="BC63" s="37">
        <f>BA63/$BA$74</f>
        <v>5.9356224164539E-2</v>
      </c>
    </row>
    <row r="64" spans="1:56" hidden="1" x14ac:dyDescent="0.2">
      <c r="A64" s="1" t="s">
        <v>58</v>
      </c>
      <c r="B64" s="2">
        <v>334280</v>
      </c>
      <c r="C64" s="27" t="s">
        <v>124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8189</v>
      </c>
      <c r="J64" s="28">
        <v>9100</v>
      </c>
      <c r="K64" s="28">
        <v>9375</v>
      </c>
      <c r="L64" s="28"/>
      <c r="M64" s="28"/>
      <c r="N64" s="28">
        <v>12270.7</v>
      </c>
      <c r="O64" s="28"/>
      <c r="P64" s="28">
        <v>12943.36</v>
      </c>
      <c r="Q64" s="28">
        <v>15726.56</v>
      </c>
      <c r="R64" s="28"/>
      <c r="S64" s="28">
        <v>11008.75</v>
      </c>
      <c r="T64" s="29"/>
      <c r="U64" s="29">
        <v>10287.5</v>
      </c>
      <c r="V64" s="29">
        <v>0</v>
      </c>
      <c r="W64" s="29">
        <v>0</v>
      </c>
      <c r="X64" s="29">
        <f t="shared" si="58"/>
        <v>-10287.5</v>
      </c>
      <c r="Y64" s="32">
        <v>0</v>
      </c>
      <c r="Z64" s="31">
        <f t="shared" si="3"/>
        <v>0</v>
      </c>
      <c r="AA64" s="31">
        <v>10288</v>
      </c>
      <c r="AB64" s="31">
        <f t="shared" si="61"/>
        <v>10288</v>
      </c>
      <c r="AC64" s="118">
        <v>10288</v>
      </c>
      <c r="AD64" s="118">
        <f t="shared" si="62"/>
        <v>0</v>
      </c>
      <c r="AE64" s="119">
        <v>10288</v>
      </c>
      <c r="AF64" s="4">
        <f t="shared" si="59"/>
        <v>0</v>
      </c>
      <c r="AG64" s="32">
        <v>10288</v>
      </c>
      <c r="AH64" s="32">
        <f t="shared" si="65"/>
        <v>0</v>
      </c>
      <c r="AI64" s="32">
        <v>10288</v>
      </c>
      <c r="AJ64" s="32">
        <f t="shared" ref="AJ64:AJ68" si="66">AI64*0.02</f>
        <v>205.76</v>
      </c>
      <c r="AK64" s="32">
        <f>AI64-AJ64</f>
        <v>10082.24</v>
      </c>
      <c r="AL64" s="34">
        <v>10082</v>
      </c>
      <c r="AM64" s="34">
        <f>AL64*0.01</f>
        <v>100.82000000000001</v>
      </c>
      <c r="AN64" s="34">
        <f t="shared" si="64"/>
        <v>9981.18</v>
      </c>
      <c r="AO64" s="34">
        <v>0</v>
      </c>
      <c r="AP64" s="34">
        <v>0</v>
      </c>
      <c r="AQ64" s="34">
        <f t="shared" si="53"/>
        <v>0</v>
      </c>
      <c r="AR64" s="34">
        <v>0</v>
      </c>
      <c r="AS64" s="34">
        <v>0</v>
      </c>
      <c r="AT64" s="34">
        <f t="shared" si="54"/>
        <v>0</v>
      </c>
      <c r="AU64" s="35">
        <v>0</v>
      </c>
      <c r="AV64" s="35">
        <v>0</v>
      </c>
      <c r="AW64" s="35">
        <f t="shared" si="63"/>
        <v>0</v>
      </c>
      <c r="AX64" s="36">
        <v>0</v>
      </c>
      <c r="AY64" s="36"/>
      <c r="AZ64" s="36">
        <f t="shared" ref="AZ64" si="67">AX64*0.02</f>
        <v>0</v>
      </c>
      <c r="BA64" s="36">
        <f t="shared" si="56"/>
        <v>0</v>
      </c>
      <c r="BC64" s="37">
        <f t="shared" si="57"/>
        <v>0</v>
      </c>
    </row>
    <row r="65" spans="1:55" x14ac:dyDescent="0.2">
      <c r="A65" s="1" t="s">
        <v>58</v>
      </c>
      <c r="B65" s="2">
        <v>334334</v>
      </c>
      <c r="C65" s="27" t="s">
        <v>125</v>
      </c>
      <c r="D65" s="28">
        <v>17750</v>
      </c>
      <c r="E65" s="28">
        <v>19245</v>
      </c>
      <c r="F65" s="28">
        <v>25000</v>
      </c>
      <c r="G65" s="28">
        <v>28500</v>
      </c>
      <c r="H65" s="28">
        <f>65860-11040</f>
        <v>54820</v>
      </c>
      <c r="I65" s="28"/>
      <c r="J65" s="28">
        <v>54820</v>
      </c>
      <c r="K65" s="28">
        <f>54820*1.03</f>
        <v>56464.6</v>
      </c>
      <c r="L65" s="28"/>
      <c r="M65" s="28">
        <v>6500</v>
      </c>
      <c r="N65" s="28">
        <v>77240</v>
      </c>
      <c r="O65" s="28"/>
      <c r="P65" s="28">
        <v>77240</v>
      </c>
      <c r="Q65" s="28">
        <v>85457</v>
      </c>
      <c r="R65" s="28">
        <v>20000</v>
      </c>
      <c r="S65" s="28">
        <v>85457</v>
      </c>
      <c r="T65" s="29">
        <v>5000</v>
      </c>
      <c r="U65" s="29">
        <v>81200</v>
      </c>
      <c r="V65" s="29">
        <v>0</v>
      </c>
      <c r="W65" s="29">
        <v>81200</v>
      </c>
      <c r="X65" s="29">
        <f t="shared" si="58"/>
        <v>0</v>
      </c>
      <c r="Y65" s="32">
        <v>81200</v>
      </c>
      <c r="Z65" s="31">
        <f t="shared" si="3"/>
        <v>0</v>
      </c>
      <c r="AA65" s="31">
        <v>81200</v>
      </c>
      <c r="AB65" s="31">
        <f t="shared" si="61"/>
        <v>0</v>
      </c>
      <c r="AC65" s="32">
        <v>86966</v>
      </c>
      <c r="AD65" s="33">
        <f t="shared" si="62"/>
        <v>5766</v>
      </c>
      <c r="AE65" s="32">
        <v>93489</v>
      </c>
      <c r="AF65" s="33">
        <f t="shared" si="59"/>
        <v>6523</v>
      </c>
      <c r="AG65" s="32">
        <v>106059</v>
      </c>
      <c r="AH65" s="32">
        <f t="shared" si="65"/>
        <v>12570</v>
      </c>
      <c r="AI65" s="32">
        <v>106059</v>
      </c>
      <c r="AJ65" s="32">
        <f t="shared" si="66"/>
        <v>2121.1799999999998</v>
      </c>
      <c r="AK65" s="32">
        <f>AI65-AJ65</f>
        <v>103937.82</v>
      </c>
      <c r="AL65" s="34">
        <v>103937.82</v>
      </c>
      <c r="AM65" s="34">
        <f>AL65*0.01</f>
        <v>1039.3782000000001</v>
      </c>
      <c r="AN65" s="34">
        <f t="shared" si="64"/>
        <v>102898.4418</v>
      </c>
      <c r="AO65" s="34">
        <v>102898</v>
      </c>
      <c r="AP65" s="34">
        <v>0</v>
      </c>
      <c r="AQ65" s="34">
        <f t="shared" si="53"/>
        <v>102898</v>
      </c>
      <c r="AR65" s="34">
        <v>102898</v>
      </c>
      <c r="AS65" s="34">
        <v>0</v>
      </c>
      <c r="AT65" s="34">
        <f t="shared" si="54"/>
        <v>102898</v>
      </c>
      <c r="AU65" s="35">
        <v>102898</v>
      </c>
      <c r="AV65" s="35">
        <v>0</v>
      </c>
      <c r="AW65" s="35">
        <f t="shared" si="63"/>
        <v>102898</v>
      </c>
      <c r="AX65" s="36">
        <v>102898</v>
      </c>
      <c r="AY65" s="36"/>
      <c r="AZ65" s="36">
        <v>12898</v>
      </c>
      <c r="BA65" s="36">
        <f t="shared" si="56"/>
        <v>90000</v>
      </c>
      <c r="BC65" s="37">
        <f>BA65/$BA$74</f>
        <v>7.9732241415052391E-2</v>
      </c>
    </row>
    <row r="66" spans="1:55" x14ac:dyDescent="0.2">
      <c r="A66" s="1" t="s">
        <v>58</v>
      </c>
      <c r="B66" s="2">
        <v>334398</v>
      </c>
      <c r="C66" s="120" t="s">
        <v>126</v>
      </c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9"/>
      <c r="U66" s="29">
        <v>0</v>
      </c>
      <c r="V66" s="29">
        <v>0</v>
      </c>
      <c r="W66" s="29">
        <v>0</v>
      </c>
      <c r="X66" s="29">
        <f t="shared" si="58"/>
        <v>0</v>
      </c>
      <c r="Y66" s="32">
        <v>2000</v>
      </c>
      <c r="Z66" s="31">
        <f t="shared" si="3"/>
        <v>2000</v>
      </c>
      <c r="AA66" s="31">
        <v>2000</v>
      </c>
      <c r="AB66" s="31">
        <f>AA66-Y66</f>
        <v>0</v>
      </c>
      <c r="AC66" s="31">
        <v>2000</v>
      </c>
      <c r="AD66" s="31">
        <f>AC66-AA66</f>
        <v>0</v>
      </c>
      <c r="AE66" s="31">
        <v>2000</v>
      </c>
      <c r="AF66" s="33">
        <f t="shared" si="59"/>
        <v>0</v>
      </c>
      <c r="AG66" s="32">
        <v>2000</v>
      </c>
      <c r="AH66" s="32">
        <f t="shared" si="65"/>
        <v>0</v>
      </c>
      <c r="AI66" s="32">
        <v>2000</v>
      </c>
      <c r="AJ66" s="32">
        <f t="shared" si="66"/>
        <v>40</v>
      </c>
      <c r="AK66" s="32">
        <f>AI66-AJ66</f>
        <v>1960</v>
      </c>
      <c r="AL66" s="34">
        <v>1960</v>
      </c>
      <c r="AM66" s="34">
        <f>AL66*0.01</f>
        <v>19.600000000000001</v>
      </c>
      <c r="AN66" s="34">
        <f t="shared" si="64"/>
        <v>1940.4</v>
      </c>
      <c r="AO66" s="34">
        <v>1940</v>
      </c>
      <c r="AP66" s="34">
        <v>0</v>
      </c>
      <c r="AQ66" s="34">
        <f t="shared" si="53"/>
        <v>1940</v>
      </c>
      <c r="AR66" s="34">
        <v>1940</v>
      </c>
      <c r="AS66" s="34">
        <v>0</v>
      </c>
      <c r="AT66" s="34">
        <f t="shared" si="54"/>
        <v>1940</v>
      </c>
      <c r="AU66" s="35">
        <v>1940</v>
      </c>
      <c r="AV66" s="35">
        <v>0</v>
      </c>
      <c r="AW66" s="35">
        <f t="shared" si="63"/>
        <v>1940</v>
      </c>
      <c r="AX66" s="36">
        <v>1940</v>
      </c>
      <c r="AY66" s="36"/>
      <c r="AZ66" s="36">
        <v>0</v>
      </c>
      <c r="BA66" s="36">
        <f t="shared" si="56"/>
        <v>1940</v>
      </c>
      <c r="BC66" s="37">
        <f>BA66/$BA$74</f>
        <v>1.7186727593911293E-3</v>
      </c>
    </row>
    <row r="67" spans="1:55" x14ac:dyDescent="0.2">
      <c r="A67" s="1" t="s">
        <v>58</v>
      </c>
      <c r="B67" s="2">
        <v>334341</v>
      </c>
      <c r="C67" s="27" t="s">
        <v>127</v>
      </c>
      <c r="D67" s="28">
        <v>32000</v>
      </c>
      <c r="E67" s="28">
        <v>36000</v>
      </c>
      <c r="F67" s="28">
        <v>65000</v>
      </c>
      <c r="G67" s="28">
        <v>60000</v>
      </c>
      <c r="H67" s="28">
        <v>60000</v>
      </c>
      <c r="I67" s="28"/>
      <c r="J67" s="28">
        <v>50000</v>
      </c>
      <c r="K67" s="28">
        <v>50000</v>
      </c>
      <c r="L67" s="28"/>
      <c r="M67" s="28"/>
      <c r="N67" s="28">
        <v>65000</v>
      </c>
      <c r="O67" s="28"/>
      <c r="P67" s="28">
        <v>75000</v>
      </c>
      <c r="Q67" s="28">
        <v>170000</v>
      </c>
      <c r="R67" s="28"/>
      <c r="S67" s="28">
        <v>170000</v>
      </c>
      <c r="T67" s="29"/>
      <c r="U67" s="29">
        <v>170000</v>
      </c>
      <c r="V67" s="29">
        <f>+U67-S67</f>
        <v>0</v>
      </c>
      <c r="W67" s="29">
        <v>160000</v>
      </c>
      <c r="X67" s="29">
        <f t="shared" si="58"/>
        <v>-10000</v>
      </c>
      <c r="Y67" s="32">
        <v>160000</v>
      </c>
      <c r="Z67" s="31">
        <f t="shared" si="3"/>
        <v>0</v>
      </c>
      <c r="AA67" s="31">
        <v>160000</v>
      </c>
      <c r="AB67" s="31">
        <f t="shared" si="61"/>
        <v>0</v>
      </c>
      <c r="AC67" s="31">
        <v>154000</v>
      </c>
      <c r="AD67" s="31">
        <f t="shared" ref="AD67:AD68" si="68">AC67-AA67</f>
        <v>-6000</v>
      </c>
      <c r="AE67" s="31">
        <v>154000</v>
      </c>
      <c r="AF67" s="33">
        <f t="shared" si="59"/>
        <v>0</v>
      </c>
      <c r="AG67" s="32">
        <v>154000</v>
      </c>
      <c r="AH67" s="32">
        <f t="shared" si="65"/>
        <v>0</v>
      </c>
      <c r="AI67" s="32">
        <v>154000</v>
      </c>
      <c r="AJ67" s="32">
        <f>AI67*0.02</f>
        <v>3080</v>
      </c>
      <c r="AK67" s="32">
        <f>AI67-AJ67+5197</f>
        <v>156117</v>
      </c>
      <c r="AL67" s="34">
        <v>156117</v>
      </c>
      <c r="AM67" s="34">
        <f>AL67*0.01</f>
        <v>1561.17</v>
      </c>
      <c r="AN67" s="34">
        <f t="shared" si="64"/>
        <v>154555.82999999999</v>
      </c>
      <c r="AO67" s="34">
        <v>154556</v>
      </c>
      <c r="AP67" s="34">
        <v>0</v>
      </c>
      <c r="AQ67" s="34">
        <f t="shared" si="53"/>
        <v>154556</v>
      </c>
      <c r="AR67" s="34">
        <f>154556</f>
        <v>154556</v>
      </c>
      <c r="AS67" s="34">
        <v>0</v>
      </c>
      <c r="AT67" s="34">
        <f t="shared" si="54"/>
        <v>154556</v>
      </c>
      <c r="AU67" s="35">
        <f>154556</f>
        <v>154556</v>
      </c>
      <c r="AV67" s="35">
        <v>0</v>
      </c>
      <c r="AW67" s="35">
        <f t="shared" si="63"/>
        <v>154556</v>
      </c>
      <c r="AX67" s="36">
        <f>154556</f>
        <v>154556</v>
      </c>
      <c r="AY67" s="36"/>
      <c r="AZ67" s="36">
        <v>4556</v>
      </c>
      <c r="BA67" s="36">
        <f t="shared" si="56"/>
        <v>150000</v>
      </c>
      <c r="BB67" s="1" t="s">
        <v>128</v>
      </c>
      <c r="BC67" s="37">
        <f>BA67/$BA$74</f>
        <v>0.13288706902508732</v>
      </c>
    </row>
    <row r="68" spans="1:55" s="61" customFormat="1" x14ac:dyDescent="0.2">
      <c r="A68" s="61" t="s">
        <v>58</v>
      </c>
      <c r="B68" s="2">
        <v>334250</v>
      </c>
      <c r="C68" s="53" t="s">
        <v>129</v>
      </c>
      <c r="D68" s="54">
        <v>87875</v>
      </c>
      <c r="E68" s="54">
        <v>87875</v>
      </c>
      <c r="F68" s="54">
        <v>87875</v>
      </c>
      <c r="G68" s="54">
        <v>96662</v>
      </c>
      <c r="H68" s="54">
        <f>96662+2900+2500</f>
        <v>102062</v>
      </c>
      <c r="I68" s="54"/>
      <c r="J68" s="54">
        <v>102062</v>
      </c>
      <c r="K68" s="54">
        <v>102162</v>
      </c>
      <c r="L68" s="54"/>
      <c r="M68" s="54"/>
      <c r="N68" s="54">
        <v>102162</v>
      </c>
      <c r="O68" s="54"/>
      <c r="P68" s="54">
        <v>112162</v>
      </c>
      <c r="Q68" s="54">
        <v>112162</v>
      </c>
      <c r="R68" s="54"/>
      <c r="S68" s="121">
        <v>120162</v>
      </c>
      <c r="T68" s="122"/>
      <c r="U68" s="122">
        <v>125162</v>
      </c>
      <c r="V68" s="122">
        <v>0</v>
      </c>
      <c r="W68" s="30">
        <v>125162</v>
      </c>
      <c r="X68" s="30">
        <f t="shared" si="58"/>
        <v>0</v>
      </c>
      <c r="Y68" s="123">
        <v>125162</v>
      </c>
      <c r="Z68" s="52">
        <f t="shared" si="3"/>
        <v>0</v>
      </c>
      <c r="AA68" s="52">
        <v>125162</v>
      </c>
      <c r="AB68" s="31">
        <f t="shared" si="61"/>
        <v>0</v>
      </c>
      <c r="AC68" s="124">
        <v>131162</v>
      </c>
      <c r="AD68" s="124">
        <f t="shared" si="68"/>
        <v>6000</v>
      </c>
      <c r="AE68" s="31">
        <v>131162</v>
      </c>
      <c r="AF68" s="33">
        <f t="shared" si="59"/>
        <v>0</v>
      </c>
      <c r="AG68" s="125">
        <v>131162</v>
      </c>
      <c r="AH68" s="125">
        <f t="shared" si="65"/>
        <v>0</v>
      </c>
      <c r="AI68" s="125">
        <v>131162</v>
      </c>
      <c r="AJ68" s="32">
        <f t="shared" si="66"/>
        <v>2623.2400000000002</v>
      </c>
      <c r="AK68" s="32">
        <f>AI68-AJ68</f>
        <v>128538.76</v>
      </c>
      <c r="AL68" s="34">
        <v>128538.76</v>
      </c>
      <c r="AM68" s="34">
        <f>AL68*0.01</f>
        <v>1285.3876</v>
      </c>
      <c r="AN68" s="34">
        <f t="shared" si="64"/>
        <v>127253.37239999999</v>
      </c>
      <c r="AO68" s="126">
        <v>127253</v>
      </c>
      <c r="AP68" s="126">
        <v>0</v>
      </c>
      <c r="AQ68" s="34">
        <f t="shared" si="53"/>
        <v>127253</v>
      </c>
      <c r="AR68" s="34">
        <v>127253</v>
      </c>
      <c r="AS68" s="34">
        <v>0</v>
      </c>
      <c r="AT68" s="34">
        <f t="shared" si="54"/>
        <v>127253</v>
      </c>
      <c r="AU68" s="35">
        <v>127253</v>
      </c>
      <c r="AV68" s="35">
        <v>0</v>
      </c>
      <c r="AW68" s="35">
        <f t="shared" si="63"/>
        <v>127253</v>
      </c>
      <c r="AX68" s="36">
        <v>127253</v>
      </c>
      <c r="AY68" s="36"/>
      <c r="AZ68" s="36">
        <v>27253</v>
      </c>
      <c r="BA68" s="36">
        <f>AX68+AY68-AZ68</f>
        <v>100000</v>
      </c>
      <c r="BB68" s="1" t="s">
        <v>130</v>
      </c>
      <c r="BC68" s="37">
        <f>BA68/$BA$74</f>
        <v>8.8591379350058203E-2</v>
      </c>
    </row>
    <row r="69" spans="1:55" s="61" customFormat="1" x14ac:dyDescent="0.2">
      <c r="B69" s="62"/>
      <c r="C69" s="85" t="s">
        <v>131</v>
      </c>
      <c r="D69" s="86">
        <f t="shared" ref="D69:Y69" si="69">SUM(D58:D68)</f>
        <v>247975</v>
      </c>
      <c r="E69" s="86">
        <f t="shared" si="69"/>
        <v>255470</v>
      </c>
      <c r="F69" s="86">
        <f t="shared" si="69"/>
        <v>294975</v>
      </c>
      <c r="G69" s="86">
        <f t="shared" si="69"/>
        <v>308182</v>
      </c>
      <c r="H69" s="86">
        <f t="shared" si="69"/>
        <v>353474</v>
      </c>
      <c r="I69" s="86">
        <f t="shared" si="69"/>
        <v>8189</v>
      </c>
      <c r="J69" s="86">
        <f t="shared" si="69"/>
        <v>359274</v>
      </c>
      <c r="K69" s="86">
        <f t="shared" si="69"/>
        <v>364793.59999999998</v>
      </c>
      <c r="L69" s="86">
        <f t="shared" si="69"/>
        <v>0</v>
      </c>
      <c r="M69" s="86">
        <f t="shared" si="69"/>
        <v>6500</v>
      </c>
      <c r="N69" s="86">
        <f t="shared" si="69"/>
        <v>407064.7</v>
      </c>
      <c r="O69" s="86">
        <f t="shared" si="69"/>
        <v>18900</v>
      </c>
      <c r="P69" s="86">
        <f t="shared" si="69"/>
        <v>430426.36</v>
      </c>
      <c r="Q69" s="86">
        <f t="shared" si="69"/>
        <v>561410.56000000006</v>
      </c>
      <c r="R69" s="86">
        <f t="shared" si="69"/>
        <v>20000</v>
      </c>
      <c r="S69" s="127">
        <f t="shared" si="69"/>
        <v>590869.75</v>
      </c>
      <c r="T69" s="128">
        <f t="shared" si="69"/>
        <v>26000</v>
      </c>
      <c r="U69" s="128">
        <f t="shared" si="69"/>
        <v>591151.5</v>
      </c>
      <c r="V69" s="128">
        <f t="shared" si="69"/>
        <v>0</v>
      </c>
      <c r="W69" s="86">
        <f t="shared" si="69"/>
        <v>506872</v>
      </c>
      <c r="X69" s="86">
        <f t="shared" si="69"/>
        <v>-84279.5</v>
      </c>
      <c r="Y69" s="59">
        <f t="shared" si="69"/>
        <v>511397</v>
      </c>
      <c r="Z69" s="59">
        <f t="shared" si="3"/>
        <v>4525</v>
      </c>
      <c r="AA69" s="59">
        <f>SUM(AA58:AA68)</f>
        <v>560122</v>
      </c>
      <c r="AB69" s="59">
        <f>AA69-Y69</f>
        <v>48725</v>
      </c>
      <c r="AC69" s="59">
        <f t="shared" ref="AC69:AZ69" si="70">SUM(AC54:AC68)</f>
        <v>646381</v>
      </c>
      <c r="AD69" s="59">
        <f t="shared" si="70"/>
        <v>86259</v>
      </c>
      <c r="AE69" s="59">
        <f t="shared" si="70"/>
        <v>735790</v>
      </c>
      <c r="AF69" s="59">
        <f t="shared" si="70"/>
        <v>89409</v>
      </c>
      <c r="AG69" s="59">
        <f t="shared" si="70"/>
        <v>752863</v>
      </c>
      <c r="AH69" s="59">
        <f t="shared" si="70"/>
        <v>17073</v>
      </c>
      <c r="AI69" s="59">
        <f t="shared" si="70"/>
        <v>753871</v>
      </c>
      <c r="AJ69" s="59">
        <f t="shared" si="70"/>
        <v>13723.42</v>
      </c>
      <c r="AK69" s="59">
        <f t="shared" si="70"/>
        <v>745344.58000000007</v>
      </c>
      <c r="AL69" s="65">
        <f t="shared" si="70"/>
        <v>745344.82000000007</v>
      </c>
      <c r="AM69" s="65">
        <f t="shared" si="70"/>
        <v>24593.806199999999</v>
      </c>
      <c r="AN69" s="65">
        <f t="shared" si="70"/>
        <v>741253.01379999996</v>
      </c>
      <c r="AO69" s="129">
        <f t="shared" si="70"/>
        <v>734271</v>
      </c>
      <c r="AP69" s="129">
        <f t="shared" si="70"/>
        <v>4771</v>
      </c>
      <c r="AQ69" s="65">
        <f t="shared" si="70"/>
        <v>739042</v>
      </c>
      <c r="AR69" s="65">
        <f t="shared" si="70"/>
        <v>739042</v>
      </c>
      <c r="AS69" s="65">
        <f t="shared" si="70"/>
        <v>2338</v>
      </c>
      <c r="AT69" s="65">
        <f t="shared" si="70"/>
        <v>741380</v>
      </c>
      <c r="AU69" s="68">
        <f t="shared" si="70"/>
        <v>741380</v>
      </c>
      <c r="AV69" s="68">
        <f t="shared" si="70"/>
        <v>-10644</v>
      </c>
      <c r="AW69" s="68">
        <f t="shared" si="70"/>
        <v>730736</v>
      </c>
      <c r="AX69" s="88">
        <f t="shared" si="70"/>
        <v>730736</v>
      </c>
      <c r="AY69" s="88">
        <f t="shared" si="70"/>
        <v>27489</v>
      </c>
      <c r="AZ69" s="88">
        <f t="shared" si="70"/>
        <v>78212</v>
      </c>
      <c r="BA69" s="88">
        <f>SUM(BA54:BA68)</f>
        <v>680013</v>
      </c>
      <c r="BC69" s="70">
        <f>BA69/$BA$74</f>
        <v>0.60243289645971132</v>
      </c>
    </row>
    <row r="70" spans="1:55" s="61" customFormat="1" ht="13.5" thickBot="1" x14ac:dyDescent="0.25">
      <c r="B70" s="62"/>
      <c r="C70" s="130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Z70" s="51" t="s">
        <v>24</v>
      </c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O70" s="132"/>
      <c r="AP70" s="132"/>
      <c r="AU70" s="133"/>
      <c r="AV70" s="133"/>
      <c r="AW70" s="133"/>
      <c r="AX70" s="134"/>
      <c r="AY70" s="134"/>
      <c r="AZ70" s="134"/>
      <c r="BA70" s="134"/>
      <c r="BB70" s="135"/>
      <c r="BC70" s="135"/>
    </row>
    <row r="71" spans="1:55" s="61" customFormat="1" ht="20.25" hidden="1" customHeight="1" x14ac:dyDescent="0.2">
      <c r="B71" s="62"/>
      <c r="C71" s="74" t="s">
        <v>132</v>
      </c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20"/>
      <c r="Z71" s="51" t="s">
        <v>24</v>
      </c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O71" s="132"/>
      <c r="AP71" s="132"/>
      <c r="AU71" s="133"/>
      <c r="AV71" s="133"/>
      <c r="AW71" s="133"/>
      <c r="AX71" s="134"/>
      <c r="AY71" s="134"/>
      <c r="AZ71" s="134"/>
      <c r="BA71" s="134"/>
    </row>
    <row r="72" spans="1:55" s="61" customFormat="1" ht="18.75" hidden="1" customHeight="1" x14ac:dyDescent="0.2">
      <c r="B72" s="2" t="s">
        <v>24</v>
      </c>
      <c r="C72" s="120" t="s">
        <v>24</v>
      </c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6"/>
      <c r="U72" s="28">
        <v>0</v>
      </c>
      <c r="V72" s="28">
        <v>0</v>
      </c>
      <c r="W72" s="50">
        <v>0</v>
      </c>
      <c r="X72" s="50">
        <f>+W72-U72</f>
        <v>0</v>
      </c>
      <c r="Y72" s="28">
        <v>0</v>
      </c>
      <c r="Z72" s="28">
        <v>0</v>
      </c>
      <c r="AA72" s="51">
        <v>0</v>
      </c>
      <c r="AB72" s="29"/>
      <c r="AC72" s="51">
        <v>0</v>
      </c>
      <c r="AD72" s="137"/>
      <c r="AE72" s="51">
        <v>0</v>
      </c>
      <c r="AF72" s="51"/>
      <c r="AG72" s="51">
        <v>0</v>
      </c>
      <c r="AH72" s="51"/>
      <c r="AI72" s="51">
        <v>0</v>
      </c>
      <c r="AJ72" s="51"/>
      <c r="AK72" s="51"/>
      <c r="AO72" s="132"/>
      <c r="AP72" s="132"/>
      <c r="AU72" s="133"/>
      <c r="AV72" s="133"/>
      <c r="AW72" s="133"/>
      <c r="AX72" s="134"/>
      <c r="AY72" s="134"/>
      <c r="AZ72" s="134"/>
      <c r="BA72" s="134"/>
    </row>
    <row r="73" spans="1:55" s="61" customFormat="1" ht="18" hidden="1" customHeight="1" thickBot="1" x14ac:dyDescent="0.25">
      <c r="B73" s="62"/>
      <c r="C73" s="138" t="s">
        <v>133</v>
      </c>
      <c r="D73" s="139"/>
      <c r="E73" s="139"/>
      <c r="F73" s="139"/>
      <c r="G73" s="139"/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39"/>
      <c r="S73" s="139"/>
      <c r="T73" s="140"/>
      <c r="U73" s="140">
        <f t="shared" ref="U73:Y73" si="71">SUM(U72:U72)</f>
        <v>0</v>
      </c>
      <c r="V73" s="141">
        <f t="shared" si="71"/>
        <v>0</v>
      </c>
      <c r="W73" s="139">
        <f t="shared" si="71"/>
        <v>0</v>
      </c>
      <c r="X73" s="139">
        <f t="shared" si="71"/>
        <v>0</v>
      </c>
      <c r="Y73" s="142">
        <f t="shared" si="71"/>
        <v>0</v>
      </c>
      <c r="Z73" s="143">
        <f t="shared" ref="Z73" si="72">+Y73-W73</f>
        <v>0</v>
      </c>
      <c r="AA73" s="144">
        <f t="shared" ref="AA73" si="73">SUM(AA72:AA72)</f>
        <v>0</v>
      </c>
      <c r="AB73" s="144"/>
      <c r="AC73" s="144">
        <f t="shared" ref="AC73" si="74">SUM(AC72:AC72)</f>
        <v>0</v>
      </c>
      <c r="AD73" s="144"/>
      <c r="AE73" s="144">
        <f t="shared" ref="AE73" si="75">SUM(AE72:AE72)</f>
        <v>0</v>
      </c>
      <c r="AF73" s="144"/>
      <c r="AG73" s="144">
        <f t="shared" ref="AG73" si="76">SUM(AG72:AG72)</f>
        <v>0</v>
      </c>
      <c r="AH73" s="144"/>
      <c r="AI73" s="144">
        <f t="shared" ref="AI73" si="77">SUM(AI72:AI72)</f>
        <v>0</v>
      </c>
      <c r="AJ73" s="144"/>
      <c r="AK73" s="51"/>
      <c r="AO73" s="132"/>
      <c r="AP73" s="132"/>
      <c r="AU73" s="133"/>
      <c r="AV73" s="133"/>
      <c r="AW73" s="133"/>
      <c r="AX73" s="134"/>
      <c r="AY73" s="134"/>
      <c r="AZ73" s="134"/>
      <c r="BA73" s="134"/>
    </row>
    <row r="74" spans="1:55" ht="13.5" thickBot="1" x14ac:dyDescent="0.25">
      <c r="C74" s="130" t="s">
        <v>134</v>
      </c>
      <c r="D74" s="145">
        <f t="shared" ref="D74:O74" si="78">D69+D51+D26+D16</f>
        <v>485330</v>
      </c>
      <c r="E74" s="145">
        <f t="shared" si="78"/>
        <v>503425</v>
      </c>
      <c r="F74" s="145">
        <f t="shared" si="78"/>
        <v>554360</v>
      </c>
      <c r="G74" s="145">
        <f t="shared" si="78"/>
        <v>586896.57999999996</v>
      </c>
      <c r="H74" s="145">
        <f t="shared" si="78"/>
        <v>640928</v>
      </c>
      <c r="I74" s="145">
        <f t="shared" si="78"/>
        <v>22389</v>
      </c>
      <c r="J74" s="145">
        <f t="shared" si="78"/>
        <v>672030.16</v>
      </c>
      <c r="K74" s="145">
        <f t="shared" si="78"/>
        <v>716794.6</v>
      </c>
      <c r="L74" s="145">
        <f t="shared" si="78"/>
        <v>5000</v>
      </c>
      <c r="M74" s="145">
        <f t="shared" si="78"/>
        <v>28272</v>
      </c>
      <c r="N74" s="145">
        <f t="shared" si="78"/>
        <v>802836.7</v>
      </c>
      <c r="O74" s="145">
        <f t="shared" si="78"/>
        <v>18900</v>
      </c>
      <c r="P74" s="145">
        <f>+P69+P51+P26+P16</f>
        <v>878401.36</v>
      </c>
      <c r="Q74" s="145">
        <f>+Q69+Q51+Q26+Q16</f>
        <v>1032630.56</v>
      </c>
      <c r="R74" s="145">
        <f>+R69+R51+R26+R16</f>
        <v>31750</v>
      </c>
      <c r="S74" s="146">
        <f>+S69+S51+S26+S16</f>
        <v>1059529.75</v>
      </c>
      <c r="T74" s="146">
        <f>+T69+T51+T26+T16</f>
        <v>35900</v>
      </c>
      <c r="U74" s="146">
        <f t="shared" ref="U74:AW74" si="79">+U69+U51+U26+U16+U73</f>
        <v>1028846.5</v>
      </c>
      <c r="V74" s="146">
        <f t="shared" si="79"/>
        <v>0</v>
      </c>
      <c r="W74" s="145">
        <f t="shared" si="79"/>
        <v>941567</v>
      </c>
      <c r="X74" s="145">
        <f t="shared" si="79"/>
        <v>-87279.5</v>
      </c>
      <c r="Y74" s="147">
        <f t="shared" si="79"/>
        <v>946092</v>
      </c>
      <c r="Z74" s="148">
        <f t="shared" si="79"/>
        <v>4525</v>
      </c>
      <c r="AA74" s="148">
        <f t="shared" si="79"/>
        <v>1004817</v>
      </c>
      <c r="AB74" s="148">
        <f t="shared" si="79"/>
        <v>48725</v>
      </c>
      <c r="AC74" s="148">
        <f t="shared" si="79"/>
        <v>1107385</v>
      </c>
      <c r="AD74" s="148">
        <f t="shared" si="79"/>
        <v>96568</v>
      </c>
      <c r="AE74" s="148">
        <f t="shared" si="79"/>
        <v>1211944</v>
      </c>
      <c r="AF74" s="149">
        <f t="shared" si="79"/>
        <v>105559</v>
      </c>
      <c r="AG74" s="148">
        <f t="shared" si="79"/>
        <v>1238467</v>
      </c>
      <c r="AH74" s="149">
        <f t="shared" si="79"/>
        <v>26523</v>
      </c>
      <c r="AI74" s="148">
        <f t="shared" si="79"/>
        <v>1243623</v>
      </c>
      <c r="AJ74" s="148">
        <f t="shared" si="79"/>
        <v>23325.5</v>
      </c>
      <c r="AK74" s="150">
        <f t="shared" si="79"/>
        <v>1220346.5</v>
      </c>
      <c r="AL74" s="151">
        <f t="shared" si="79"/>
        <v>1220348.02</v>
      </c>
      <c r="AM74" s="151">
        <f t="shared" si="79"/>
        <v>29778.858199999999</v>
      </c>
      <c r="AN74" s="151">
        <f t="shared" si="79"/>
        <v>1211071.1618000001</v>
      </c>
      <c r="AO74" s="148">
        <f t="shared" si="79"/>
        <v>1204088</v>
      </c>
      <c r="AP74" s="148">
        <f t="shared" si="79"/>
        <v>9365</v>
      </c>
      <c r="AQ74" s="151">
        <f t="shared" si="79"/>
        <v>1213453</v>
      </c>
      <c r="AR74" s="151">
        <f t="shared" si="79"/>
        <v>1213453</v>
      </c>
      <c r="AS74" s="151">
        <f t="shared" si="79"/>
        <v>2338</v>
      </c>
      <c r="AT74" s="151">
        <f t="shared" si="79"/>
        <v>1215791</v>
      </c>
      <c r="AU74" s="152">
        <f t="shared" si="79"/>
        <v>1215791</v>
      </c>
      <c r="AV74" s="152">
        <f t="shared" si="79"/>
        <v>-10644</v>
      </c>
      <c r="AW74" s="152">
        <f t="shared" si="79"/>
        <v>1205147</v>
      </c>
      <c r="AX74" s="153">
        <f>+AX69+AX51+AX26+AX16+AX73</f>
        <v>1205147</v>
      </c>
      <c r="AY74" s="153">
        <f>+AY69+AY51+AY26+AY16+AY73</f>
        <v>87436</v>
      </c>
      <c r="AZ74" s="153">
        <f t="shared" ref="AZ74" si="80">+AZ69+AZ51+AZ26+AZ16+AZ73</f>
        <v>163805</v>
      </c>
      <c r="BA74" s="153">
        <f>+BA69+BA51+BA26+BA16+BA73</f>
        <v>1128778</v>
      </c>
    </row>
    <row r="75" spans="1:55" ht="13.5" thickTop="1" x14ac:dyDescent="0.2">
      <c r="C75" s="154" t="s">
        <v>135</v>
      </c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55" t="s">
        <v>135</v>
      </c>
      <c r="P75" s="156">
        <v>785000</v>
      </c>
      <c r="Q75" s="156">
        <v>820000</v>
      </c>
      <c r="R75" s="156"/>
      <c r="S75" s="156">
        <v>840000</v>
      </c>
      <c r="T75" s="156"/>
      <c r="U75" s="156">
        <f>840000*1.08</f>
        <v>907200.00000000012</v>
      </c>
      <c r="V75" s="157"/>
      <c r="W75" s="156">
        <f>907200*1.106</f>
        <v>1003363.2000000001</v>
      </c>
      <c r="X75" s="157"/>
      <c r="Y75" s="156">
        <f>W75</f>
        <v>1003363.2000000001</v>
      </c>
      <c r="Z75" s="156" t="s">
        <v>24</v>
      </c>
      <c r="AA75" s="156">
        <f>Y75*1.01</f>
        <v>1013396.8320000001</v>
      </c>
      <c r="AB75" s="157"/>
      <c r="AC75" s="156">
        <v>1096219.06</v>
      </c>
      <c r="AD75" s="157"/>
      <c r="AE75" s="156">
        <v>1151797.46</v>
      </c>
      <c r="AF75" s="157" t="s">
        <v>24</v>
      </c>
      <c r="AG75" s="156">
        <v>1224237.68</v>
      </c>
      <c r="AH75" s="157"/>
      <c r="AI75" s="156"/>
      <c r="AJ75" s="156"/>
      <c r="AK75" s="54">
        <v>1225788.1000000001</v>
      </c>
      <c r="AL75" s="1"/>
      <c r="AM75" s="51"/>
      <c r="AN75" s="1">
        <f>169.92*7000</f>
        <v>1189440</v>
      </c>
      <c r="AO75" s="1">
        <f>169.92*6600</f>
        <v>1121472</v>
      </c>
      <c r="AQ75" s="1">
        <f>169.92*6600</f>
        <v>1121472</v>
      </c>
      <c r="AR75" s="1">
        <f>169.92*6030</f>
        <v>1024617.6</v>
      </c>
      <c r="AT75" s="1">
        <f>169.92*6030</f>
        <v>1024617.6</v>
      </c>
      <c r="AU75" s="24">
        <f>169.92*5680</f>
        <v>965145.59999999998</v>
      </c>
      <c r="AW75" s="24">
        <f>169.92*5680</f>
        <v>965145.59999999998</v>
      </c>
      <c r="AX75" s="25">
        <f>169.92*5625</f>
        <v>955799.99999999988</v>
      </c>
      <c r="AY75" s="25"/>
      <c r="AZ75" s="25"/>
      <c r="BA75" s="25">
        <f>173.28*5625</f>
        <v>974700</v>
      </c>
    </row>
    <row r="76" spans="1:55" x14ac:dyDescent="0.2">
      <c r="C76" s="154" t="s">
        <v>136</v>
      </c>
      <c r="D76" s="131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55" t="s">
        <v>136</v>
      </c>
      <c r="P76" s="156">
        <v>952712</v>
      </c>
      <c r="Q76" s="156">
        <f>Q74</f>
        <v>1032630.56</v>
      </c>
      <c r="R76" s="157"/>
      <c r="S76" s="158">
        <f>S74</f>
        <v>1059529.75</v>
      </c>
      <c r="T76" s="157"/>
      <c r="U76" s="157">
        <f>+U74</f>
        <v>1028846.5</v>
      </c>
      <c r="V76" s="157"/>
      <c r="W76" s="157">
        <f>W74</f>
        <v>941567</v>
      </c>
      <c r="X76" s="157"/>
      <c r="Y76" s="157">
        <f>Y74</f>
        <v>946092</v>
      </c>
      <c r="Z76" s="157" t="s">
        <v>24</v>
      </c>
      <c r="AA76" s="157">
        <f>AA74</f>
        <v>1004817</v>
      </c>
      <c r="AB76" s="157"/>
      <c r="AC76" s="159" t="e">
        <f>#REF!</f>
        <v>#REF!</v>
      </c>
      <c r="AD76" s="157"/>
      <c r="AE76" s="159">
        <f>AE74</f>
        <v>1211944</v>
      </c>
      <c r="AF76" s="157"/>
      <c r="AG76" s="159">
        <f>AG74</f>
        <v>1238467</v>
      </c>
      <c r="AH76" s="157"/>
      <c r="AI76" s="157"/>
      <c r="AJ76" s="157"/>
      <c r="AK76" s="160">
        <f>AK74</f>
        <v>1220346.5</v>
      </c>
      <c r="AL76" s="1"/>
      <c r="AM76" s="51"/>
      <c r="AN76" s="1">
        <f>AN74</f>
        <v>1211071.1618000001</v>
      </c>
      <c r="AO76" s="1">
        <f>AO74</f>
        <v>1204088</v>
      </c>
      <c r="AQ76" s="1">
        <f>AQ74</f>
        <v>1213453</v>
      </c>
      <c r="AR76" s="1">
        <f>AR74</f>
        <v>1213453</v>
      </c>
      <c r="AT76" s="1">
        <f>AT74</f>
        <v>1215791</v>
      </c>
      <c r="AU76" s="24">
        <f>AU74</f>
        <v>1215791</v>
      </c>
      <c r="AW76" s="24">
        <f>AW74</f>
        <v>1205147</v>
      </c>
      <c r="AX76" s="25">
        <f>AX74</f>
        <v>1205147</v>
      </c>
      <c r="AY76" s="25"/>
      <c r="AZ76" s="25"/>
      <c r="BA76" s="25">
        <f>BA74</f>
        <v>1128778</v>
      </c>
    </row>
    <row r="77" spans="1:55" ht="13.5" thickBot="1" x14ac:dyDescent="0.25">
      <c r="C77" s="154" t="s">
        <v>137</v>
      </c>
      <c r="D77" s="131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55" t="s">
        <v>137</v>
      </c>
      <c r="P77" s="161">
        <f>P75-P76</f>
        <v>-167712</v>
      </c>
      <c r="Q77" s="161">
        <f>Q75-Q76</f>
        <v>-212630.56000000006</v>
      </c>
      <c r="R77" s="162">
        <f>Q77/Q75</f>
        <v>-0.25930556097560981</v>
      </c>
      <c r="S77" s="161">
        <f>+S75-S76</f>
        <v>-219529.75</v>
      </c>
      <c r="T77" s="157"/>
      <c r="U77" s="161">
        <f t="shared" ref="U77" si="81">+U75-U76</f>
        <v>-121646.49999999988</v>
      </c>
      <c r="V77" s="157"/>
      <c r="W77" s="163">
        <f>+W75-W76</f>
        <v>61796.20000000007</v>
      </c>
      <c r="X77" s="157"/>
      <c r="Y77" s="163">
        <f>+Y75-Y76</f>
        <v>57271.20000000007</v>
      </c>
      <c r="Z77" s="157" t="s">
        <v>24</v>
      </c>
      <c r="AA77" s="163">
        <f>+AA75-AA76</f>
        <v>8579.8320000000531</v>
      </c>
      <c r="AB77" s="157"/>
      <c r="AC77" s="163" t="e">
        <f>+AC75-AC76</f>
        <v>#REF!</v>
      </c>
      <c r="AD77" s="157"/>
      <c r="AE77" s="163">
        <f>+AE75-AE76</f>
        <v>-60146.540000000037</v>
      </c>
      <c r="AF77" s="157"/>
      <c r="AG77" s="163">
        <f>+AG75-AG76</f>
        <v>-14229.320000000065</v>
      </c>
      <c r="AH77" s="157"/>
      <c r="AI77" s="157"/>
      <c r="AJ77" s="157"/>
      <c r="AK77" s="164">
        <f>+AK75-AK76</f>
        <v>5441.6000000000931</v>
      </c>
      <c r="AL77" s="51"/>
      <c r="AM77" s="51"/>
      <c r="AN77" s="165">
        <f>+AN75-AN76</f>
        <v>-21631.161800000118</v>
      </c>
      <c r="AO77" s="165">
        <f>+AO75-AO76</f>
        <v>-82616</v>
      </c>
      <c r="AP77" s="165"/>
      <c r="AQ77" s="165">
        <f>+AQ75-AQ76</f>
        <v>-91981</v>
      </c>
      <c r="AR77" s="165">
        <f>+AR75-AR76</f>
        <v>-188835.40000000002</v>
      </c>
      <c r="AS77" s="165"/>
      <c r="AT77" s="165">
        <f>+AT75-AT76</f>
        <v>-191173.40000000002</v>
      </c>
      <c r="AU77" s="166">
        <f>+AU75-AU76</f>
        <v>-250645.40000000002</v>
      </c>
      <c r="AV77" s="166"/>
      <c r="AW77" s="166">
        <f>+AW75-AW76</f>
        <v>-240001.40000000002</v>
      </c>
      <c r="AX77" s="167">
        <f>+AX75-AX76</f>
        <v>-249347.00000000012</v>
      </c>
      <c r="AY77" s="167"/>
      <c r="AZ77" s="167"/>
      <c r="BA77" s="167">
        <f>+BA75-BA76</f>
        <v>-154078</v>
      </c>
    </row>
    <row r="78" spans="1:55" ht="13.5" thickTop="1" x14ac:dyDescent="0.2">
      <c r="C78" s="154" t="s">
        <v>138</v>
      </c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55" t="s">
        <v>139</v>
      </c>
      <c r="P78" s="156">
        <v>1035000</v>
      </c>
      <c r="Q78" s="156">
        <f>+P78+Q77</f>
        <v>822369.44</v>
      </c>
      <c r="R78" s="157"/>
      <c r="S78" s="156">
        <v>194180.15</v>
      </c>
      <c r="T78" s="156"/>
      <c r="U78" s="156">
        <v>139141.01</v>
      </c>
      <c r="V78" s="157"/>
      <c r="W78" s="157">
        <v>274236.38</v>
      </c>
      <c r="X78" s="157"/>
      <c r="Y78" s="157">
        <v>394725.22</v>
      </c>
      <c r="Z78" s="157" t="s">
        <v>24</v>
      </c>
      <c r="AA78" s="157">
        <v>472626.72</v>
      </c>
      <c r="AB78" s="157"/>
      <c r="AC78" s="157">
        <v>481805.55</v>
      </c>
      <c r="AD78" s="157"/>
      <c r="AE78" s="157">
        <v>425673.58</v>
      </c>
      <c r="AF78" s="157"/>
      <c r="AG78" s="157">
        <v>452498.01</v>
      </c>
      <c r="AH78" s="157"/>
      <c r="AI78" s="157"/>
      <c r="AJ78" s="157"/>
      <c r="AK78" s="103">
        <v>527084.89</v>
      </c>
      <c r="AL78" s="51"/>
      <c r="AM78" s="51"/>
      <c r="AN78" s="51">
        <v>590835.34</v>
      </c>
      <c r="AO78" s="51">
        <f>AN78+AO77</f>
        <v>508219.33999999997</v>
      </c>
      <c r="AP78" s="51"/>
      <c r="AQ78" s="51">
        <v>901496.89</v>
      </c>
      <c r="AR78" s="51">
        <v>790227.66</v>
      </c>
      <c r="AS78" s="51"/>
      <c r="AT78" s="51">
        <v>790227.66</v>
      </c>
      <c r="AU78" s="168">
        <f>AT78+AU77</f>
        <v>539582.26</v>
      </c>
      <c r="AV78" s="168"/>
      <c r="AW78" s="168">
        <f>AT78+AW77</f>
        <v>550226.26</v>
      </c>
      <c r="AX78" s="169">
        <f>AW78+AX77</f>
        <v>300879.25999999989</v>
      </c>
      <c r="AY78" s="169"/>
      <c r="AZ78" s="169"/>
      <c r="BA78" s="169">
        <f>AW78+BA77</f>
        <v>396148.26</v>
      </c>
    </row>
    <row r="79" spans="1:55" hidden="1" x14ac:dyDescent="0.2">
      <c r="C79" s="130" t="s">
        <v>140</v>
      </c>
      <c r="D79" s="170">
        <f>(D74-524955)/524955</f>
        <v>-7.5482660418512065E-2</v>
      </c>
      <c r="E79" s="170">
        <f>(E74-D74)/D74</f>
        <v>3.7283909916963717E-2</v>
      </c>
      <c r="F79" s="170">
        <f>(F74-E74)/E74</f>
        <v>0.10117693797487212</v>
      </c>
      <c r="G79" s="170">
        <f>(G74-F74)/F74</f>
        <v>5.8692149505736271E-2</v>
      </c>
      <c r="H79" s="170">
        <f>(H74-G74)/G74</f>
        <v>9.2062932109776563E-2</v>
      </c>
      <c r="I79" s="170"/>
      <c r="J79" s="170">
        <f>(J74-H74)/H74</f>
        <v>4.8526761196265464E-2</v>
      </c>
      <c r="K79" s="170">
        <f>(K74-J74)/J74</f>
        <v>6.66107604456323E-2</v>
      </c>
      <c r="L79" s="170"/>
      <c r="M79" s="170"/>
      <c r="N79" s="170">
        <f>(N74-K74)/K74</f>
        <v>0.12003731612933465</v>
      </c>
      <c r="O79" s="170"/>
      <c r="P79" s="170">
        <f>+(P74-N74)/N74</f>
        <v>9.412207987004087E-2</v>
      </c>
      <c r="Q79" s="170">
        <f>+(Q74-P74)/P74</f>
        <v>0.17557941850181114</v>
      </c>
      <c r="R79" s="170"/>
      <c r="S79" s="171">
        <f>+(S74-Q74)/Q74</f>
        <v>2.6049190331922718E-2</v>
      </c>
      <c r="T79" s="171"/>
      <c r="U79" s="171">
        <f>+(U74-S74)/S74</f>
        <v>-2.895930954274762E-2</v>
      </c>
      <c r="V79" s="171"/>
      <c r="W79" s="171">
        <f>+(W74-U74)/U74</f>
        <v>-8.4832382673217049E-2</v>
      </c>
      <c r="X79" s="171"/>
      <c r="Y79" s="171">
        <f>+(Y74-W74)/W74</f>
        <v>4.80581838573357E-3</v>
      </c>
      <c r="Z79" s="171" t="s">
        <v>24</v>
      </c>
      <c r="AA79" s="171">
        <f>+(AA74-Y74)/Y74</f>
        <v>6.2071130503164595E-2</v>
      </c>
      <c r="AC79" s="171">
        <f>+(AC74-AA74)/AA74</f>
        <v>0.10207629847026871</v>
      </c>
      <c r="AE79" s="171">
        <f>+(AE74-AC74)/AC74</f>
        <v>9.4419736586643307E-2</v>
      </c>
      <c r="AG79" s="171">
        <f>+(AG74-AE74)/AE74</f>
        <v>2.1884674539417663E-2</v>
      </c>
      <c r="AI79" s="171"/>
      <c r="AJ79" s="171" t="s">
        <v>24</v>
      </c>
      <c r="AK79" s="171">
        <f>+(AK74-AG74)/AG74</f>
        <v>-1.4631395103785567E-2</v>
      </c>
      <c r="AN79" s="171">
        <f>(AL74-AK74)/AK74</f>
        <v>1.2455478833418429E-6</v>
      </c>
      <c r="AO79" s="171">
        <f>(AN74-AM74)/AM74</f>
        <v>39.668824629414445</v>
      </c>
      <c r="AP79" s="171"/>
      <c r="AQ79" s="172"/>
      <c r="AR79" s="172">
        <f>(AQ74-AP74)/AP74</f>
        <v>128.57319807794983</v>
      </c>
      <c r="AS79" s="172"/>
      <c r="AT79" s="172"/>
      <c r="AU79" s="173">
        <f>(AT74-AS74)/AS74</f>
        <v>519.01325919589397</v>
      </c>
      <c r="AV79" s="173"/>
      <c r="AW79" s="173"/>
      <c r="AX79" s="174">
        <f>(AW74-AV74)/AV74</f>
        <v>-114.22313040210447</v>
      </c>
      <c r="AY79" s="174"/>
      <c r="AZ79" s="174"/>
      <c r="BA79" s="174"/>
    </row>
    <row r="80" spans="1:55" hidden="1" x14ac:dyDescent="0.2">
      <c r="C80" s="130" t="s">
        <v>141</v>
      </c>
      <c r="D80" s="170">
        <v>0.16</v>
      </c>
      <c r="E80" s="170">
        <v>5.7500000000000002E-2</v>
      </c>
      <c r="F80" s="170">
        <v>8.6999999999999994E-2</v>
      </c>
      <c r="G80" s="170">
        <v>0.05</v>
      </c>
      <c r="H80" s="170">
        <f>+G80:G80</f>
        <v>0.05</v>
      </c>
      <c r="I80" s="170"/>
      <c r="J80" s="170">
        <v>0</v>
      </c>
      <c r="K80" s="170">
        <v>-0.1</v>
      </c>
      <c r="L80" s="170"/>
      <c r="M80" s="170"/>
      <c r="N80" s="170">
        <v>0</v>
      </c>
      <c r="O80" s="170"/>
      <c r="P80" s="170">
        <v>0.01</v>
      </c>
      <c r="Q80" s="170">
        <v>0.03</v>
      </c>
      <c r="R80" s="170"/>
      <c r="S80" s="171">
        <f>+(S75-Q75)/Q75</f>
        <v>2.4390243902439025E-2</v>
      </c>
      <c r="T80" s="171" t="s">
        <v>24</v>
      </c>
      <c r="U80" s="171">
        <f>+(U75-S75)/S75</f>
        <v>8.000000000000014E-2</v>
      </c>
      <c r="V80" s="171" t="s">
        <v>24</v>
      </c>
      <c r="W80" s="171">
        <f>+(W75-U75)/U75</f>
        <v>0.10599999999999994</v>
      </c>
      <c r="X80" s="171" t="s">
        <v>24</v>
      </c>
      <c r="Y80" s="171">
        <f>+(Y75-W75)/W75</f>
        <v>0</v>
      </c>
      <c r="Z80" s="171"/>
      <c r="AA80" s="171">
        <f>+(AA75-Y75)/Y75</f>
        <v>9.9999999999999829E-3</v>
      </c>
      <c r="AC80" s="171">
        <f>+(AC75-AA75)/AA75</f>
        <v>8.1727340548860133E-2</v>
      </c>
      <c r="AE80" s="171">
        <f>+(AE75-AC75)/AC75</f>
        <v>5.0700085437302929E-2</v>
      </c>
      <c r="AG80" s="171">
        <f>+(AG75-AE75)/AE75</f>
        <v>6.2893193044547935E-2</v>
      </c>
      <c r="AI80" s="171"/>
      <c r="AJ80" s="171" t="s">
        <v>24</v>
      </c>
      <c r="AK80" s="171">
        <f>+(AK75-AG75)/AG75</f>
        <v>1.2664370859751339E-3</v>
      </c>
      <c r="AN80" s="171">
        <f>(AN75-AK75)/AK75</f>
        <v>-2.9652841302668945E-2</v>
      </c>
      <c r="AO80" s="171" t="e">
        <f>(AO75-AM75)/AM75</f>
        <v>#DIV/0!</v>
      </c>
      <c r="AP80" s="171"/>
      <c r="AQ80" s="172"/>
      <c r="AR80" s="172" t="e">
        <f>(AR75-AP75)/AP75</f>
        <v>#DIV/0!</v>
      </c>
      <c r="AS80" s="172"/>
      <c r="AT80" s="172"/>
      <c r="AU80" s="173" t="e">
        <f>(AU75-AS75)/AS75</f>
        <v>#DIV/0!</v>
      </c>
      <c r="AV80" s="173"/>
      <c r="AW80" s="173"/>
      <c r="AX80" s="174" t="e">
        <f>(AX75-AV75)/AV75</f>
        <v>#DIV/0!</v>
      </c>
      <c r="AY80" s="174"/>
      <c r="AZ80" s="174"/>
      <c r="BA80" s="174"/>
    </row>
    <row r="81" spans="3:53" ht="15" x14ac:dyDescent="0.25">
      <c r="C81" s="130" t="s">
        <v>142</v>
      </c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1"/>
      <c r="W81" s="175">
        <f>W78/W75</f>
        <v>0.27331715972840143</v>
      </c>
      <c r="X81" s="176" t="s">
        <v>24</v>
      </c>
      <c r="Y81" s="175">
        <f t="shared" ref="Y81:AA81" si="82">Y78/Y75</f>
        <v>0.39340212995653012</v>
      </c>
      <c r="Z81" s="176" t="s">
        <v>24</v>
      </c>
      <c r="AA81" s="175">
        <f t="shared" si="82"/>
        <v>0.46637872260488766</v>
      </c>
      <c r="AB81" s="175"/>
      <c r="AC81" s="175">
        <f>AC78/AC75</f>
        <v>0.43951575700572104</v>
      </c>
      <c r="AD81" s="175"/>
      <c r="AE81" s="175">
        <f>AE78/AE75</f>
        <v>0.36957329286001378</v>
      </c>
      <c r="AG81" s="175">
        <f>AG78/AG75</f>
        <v>0.36961614349265909</v>
      </c>
      <c r="AI81" s="175"/>
      <c r="AJ81" s="175"/>
      <c r="AK81" s="175">
        <f>AK78/AK75</f>
        <v>0.42999674250386344</v>
      </c>
      <c r="AN81" s="175">
        <f>AN78/AN75</f>
        <v>0.49673404291094964</v>
      </c>
      <c r="AO81" s="175">
        <f>AO78/AO75</f>
        <v>0.45317167080408605</v>
      </c>
      <c r="AP81" s="175"/>
      <c r="AQ81" s="177">
        <f>AQ78/AQ75</f>
        <v>0.80385144702676481</v>
      </c>
      <c r="AR81" s="177">
        <f>AR78/AR75</f>
        <v>0.77124154416242707</v>
      </c>
      <c r="AS81" s="177"/>
      <c r="AT81" s="177">
        <f>AT78/AT75</f>
        <v>0.77124154416242707</v>
      </c>
      <c r="AU81" s="178">
        <f>AU78/AU75</f>
        <v>0.5590682483554813</v>
      </c>
      <c r="AV81" s="178"/>
      <c r="AW81" s="178">
        <f>AW78/AW75</f>
        <v>0.57009663619665263</v>
      </c>
      <c r="AX81" s="179">
        <f>AX78/AX75</f>
        <v>0.31479311571458457</v>
      </c>
      <c r="AY81" s="179"/>
      <c r="AZ81" s="179"/>
      <c r="BA81" s="179">
        <f>BA78/BA75</f>
        <v>0.40643096337334567</v>
      </c>
    </row>
    <row r="82" spans="3:53" ht="15" x14ac:dyDescent="0.25">
      <c r="C82" s="130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75"/>
      <c r="AK82" s="180"/>
      <c r="AX82" s="25"/>
      <c r="AY82" s="181"/>
      <c r="AZ82" s="182" t="s">
        <v>48</v>
      </c>
      <c r="BA82" s="183" t="s">
        <v>143</v>
      </c>
    </row>
    <row r="83" spans="3:53" ht="13.5" customHeight="1" x14ac:dyDescent="0.2">
      <c r="C83" s="130" t="s">
        <v>144</v>
      </c>
      <c r="D83" s="184">
        <v>4.3499999999999996</v>
      </c>
      <c r="E83" s="184">
        <v>4.5999999999999996</v>
      </c>
      <c r="F83" s="184">
        <v>5</v>
      </c>
      <c r="G83" s="184">
        <v>5.25</v>
      </c>
      <c r="H83" s="184">
        <v>5.5</v>
      </c>
      <c r="I83" s="184">
        <v>6.9</v>
      </c>
      <c r="J83" s="184">
        <v>5.5</v>
      </c>
      <c r="K83" s="184">
        <v>4.95</v>
      </c>
      <c r="L83" s="184">
        <f>+K83-J83</f>
        <v>-0.54999999999999982</v>
      </c>
      <c r="M83" s="184"/>
      <c r="N83" s="184">
        <v>4.95</v>
      </c>
      <c r="O83" s="184"/>
      <c r="P83" s="184">
        <v>4.07</v>
      </c>
      <c r="Q83" s="184">
        <v>4.2</v>
      </c>
      <c r="S83" s="184">
        <v>4.3499999999999996</v>
      </c>
      <c r="T83" s="131"/>
      <c r="U83" s="184">
        <v>4.7</v>
      </c>
      <c r="V83" s="185">
        <f>+(U83-S83)/S83</f>
        <v>8.0459770114942653E-2</v>
      </c>
      <c r="W83" s="180">
        <v>5.2</v>
      </c>
      <c r="X83" s="186">
        <f>+(W83-U83)/U83</f>
        <v>0.10638297872340426</v>
      </c>
      <c r="Y83" s="180">
        <v>5.2</v>
      </c>
      <c r="Z83" s="186">
        <f>+(Y83-W83)/W83</f>
        <v>0</v>
      </c>
      <c r="AA83" s="180">
        <v>5.25</v>
      </c>
      <c r="AB83" s="186">
        <f>+(AA83-Y83)/Y83</f>
        <v>9.6153846153845812E-3</v>
      </c>
      <c r="AC83" s="180">
        <v>5.75</v>
      </c>
      <c r="AD83" s="186">
        <f>+(AC83-AA83)/AA83</f>
        <v>9.5238095238095233E-2</v>
      </c>
      <c r="AE83" s="180">
        <v>6.3</v>
      </c>
      <c r="AF83" s="186">
        <f>(AE83-AC83)/AC83</f>
        <v>9.5652173913043453E-2</v>
      </c>
      <c r="AG83" s="180">
        <v>6.82</v>
      </c>
      <c r="AH83" s="186">
        <f>(AG83-AE83)/AE83</f>
        <v>8.2539682539682621E-2</v>
      </c>
      <c r="AK83" s="180">
        <v>6.95</v>
      </c>
      <c r="AL83" s="186">
        <f>(AK83-AG83)/AG83</f>
        <v>1.9061583577712593E-2</v>
      </c>
      <c r="AN83" s="187">
        <v>7.08</v>
      </c>
      <c r="AO83" s="188">
        <v>7.08</v>
      </c>
      <c r="AP83" s="188"/>
      <c r="AQ83" s="187">
        <v>7.08</v>
      </c>
      <c r="AR83" s="187">
        <v>7.08</v>
      </c>
      <c r="AS83" s="187"/>
      <c r="AT83" s="187">
        <v>7.08</v>
      </c>
      <c r="AU83" s="189">
        <v>7.08</v>
      </c>
      <c r="AV83" s="189"/>
      <c r="AW83" s="189">
        <v>7.08</v>
      </c>
      <c r="AX83" s="190">
        <v>7.08</v>
      </c>
      <c r="AY83" s="191">
        <v>7.22</v>
      </c>
      <c r="AZ83" s="192">
        <f>AY83-AW83</f>
        <v>0.13999999999999968</v>
      </c>
      <c r="BA83" s="193">
        <f>+AZ83/AU83</f>
        <v>1.9774011299434981E-2</v>
      </c>
    </row>
    <row r="84" spans="3:53" x14ac:dyDescent="0.2">
      <c r="C84" s="130" t="s">
        <v>145</v>
      </c>
      <c r="D84" s="184">
        <v>52.2</v>
      </c>
      <c r="E84" s="184">
        <v>55.2</v>
      </c>
      <c r="F84" s="184">
        <v>60</v>
      </c>
      <c r="G84" s="184">
        <v>63</v>
      </c>
      <c r="H84" s="184">
        <v>66</v>
      </c>
      <c r="I84" s="184">
        <v>110.4</v>
      </c>
      <c r="J84" s="184">
        <v>66</v>
      </c>
      <c r="K84" s="184">
        <v>59.4</v>
      </c>
      <c r="L84" s="184">
        <f>+K84-J84</f>
        <v>-6.6000000000000014</v>
      </c>
      <c r="M84" s="184"/>
      <c r="N84" s="184">
        <v>59.4</v>
      </c>
      <c r="O84" s="184"/>
      <c r="P84" s="184">
        <v>48.84</v>
      </c>
      <c r="Q84" s="184">
        <v>50.4</v>
      </c>
      <c r="S84" s="184">
        <v>52.2</v>
      </c>
      <c r="T84" s="131"/>
      <c r="U84" s="184">
        <v>56.4</v>
      </c>
      <c r="V84" s="185">
        <f>+(U84-S84)/S84</f>
        <v>8.0459770114942444E-2</v>
      </c>
      <c r="W84" s="180">
        <f>W83*12</f>
        <v>62.400000000000006</v>
      </c>
      <c r="X84" s="186">
        <f>+(W84-U84)/U84</f>
        <v>0.10638297872340438</v>
      </c>
      <c r="Y84" s="180">
        <f>Y83*12</f>
        <v>62.400000000000006</v>
      </c>
      <c r="Z84" s="186">
        <f>+(Y84-W84)/W84</f>
        <v>0</v>
      </c>
      <c r="AA84" s="180">
        <f>AA83*12</f>
        <v>63</v>
      </c>
      <c r="AB84" s="186">
        <f>+(AA84-Y84)/Y84</f>
        <v>9.615384615384524E-3</v>
      </c>
      <c r="AC84" s="180">
        <f>AC83*12</f>
        <v>69</v>
      </c>
      <c r="AD84" s="186">
        <f>+(AC84-AA84)/AA84</f>
        <v>9.5238095238095233E-2</v>
      </c>
      <c r="AE84" s="180">
        <f>AE83*12</f>
        <v>75.599999999999994</v>
      </c>
      <c r="AF84" s="186">
        <f t="shared" ref="AF84:AF85" si="83">(AE84-AC84)/AC84</f>
        <v>9.5652173913043398E-2</v>
      </c>
      <c r="AG84" s="180">
        <f>AG83*12</f>
        <v>81.84</v>
      </c>
      <c r="AH84" s="186">
        <f>(AG84-AE84)/AE84</f>
        <v>8.2539682539682663E-2</v>
      </c>
      <c r="AK84" s="180">
        <f>AK83*12</f>
        <v>83.4</v>
      </c>
      <c r="AL84" s="186">
        <f>(AK84-AG84)/AG84</f>
        <v>1.9061583577712638E-2</v>
      </c>
      <c r="AN84" s="187">
        <f>AN83*12</f>
        <v>84.960000000000008</v>
      </c>
      <c r="AO84" s="188">
        <f>AO83*12</f>
        <v>84.960000000000008</v>
      </c>
      <c r="AP84" s="188"/>
      <c r="AQ84" s="187">
        <f>AQ83*12</f>
        <v>84.960000000000008</v>
      </c>
      <c r="AR84" s="187">
        <f>AR83*12</f>
        <v>84.960000000000008</v>
      </c>
      <c r="AS84" s="187"/>
      <c r="AT84" s="187">
        <f>AT83*12</f>
        <v>84.960000000000008</v>
      </c>
      <c r="AU84" s="189">
        <f>AU83*12</f>
        <v>84.960000000000008</v>
      </c>
      <c r="AV84" s="189"/>
      <c r="AW84" s="189">
        <f>AW83*12</f>
        <v>84.960000000000008</v>
      </c>
      <c r="AX84" s="190">
        <f>AX83*12</f>
        <v>84.960000000000008</v>
      </c>
      <c r="AY84" s="191">
        <f>AY83*12</f>
        <v>86.64</v>
      </c>
      <c r="AZ84" s="192">
        <f>AY84-AW84</f>
        <v>1.6799999999999926</v>
      </c>
      <c r="BA84" s="193">
        <f>+AZ84/AT84</f>
        <v>1.977401129943494E-2</v>
      </c>
    </row>
    <row r="85" spans="3:53" x14ac:dyDescent="0.2">
      <c r="C85" s="130" t="s">
        <v>146</v>
      </c>
      <c r="D85" s="184">
        <v>104.4</v>
      </c>
      <c r="E85" s="184">
        <v>110.4</v>
      </c>
      <c r="F85" s="184">
        <v>120</v>
      </c>
      <c r="G85" s="184">
        <v>126</v>
      </c>
      <c r="H85" s="184">
        <v>132</v>
      </c>
      <c r="I85" s="184">
        <v>220.8</v>
      </c>
      <c r="J85" s="184">
        <v>132</v>
      </c>
      <c r="K85" s="184">
        <v>118.8</v>
      </c>
      <c r="L85" s="184">
        <f>+K85-J85</f>
        <v>-13.200000000000003</v>
      </c>
      <c r="M85" s="184"/>
      <c r="N85" s="184">
        <v>118.8</v>
      </c>
      <c r="O85" s="184"/>
      <c r="P85" s="184">
        <f>+P84*2</f>
        <v>97.68</v>
      </c>
      <c r="Q85" s="184">
        <f>+Q84*2</f>
        <v>100.8</v>
      </c>
      <c r="S85" s="184">
        <v>104.4</v>
      </c>
      <c r="T85" s="131"/>
      <c r="U85" s="184">
        <v>112.8</v>
      </c>
      <c r="V85" s="185">
        <f>+(U85-S85)/S85</f>
        <v>8.0459770114942444E-2</v>
      </c>
      <c r="W85" s="180">
        <f>W84*2</f>
        <v>124.80000000000001</v>
      </c>
      <c r="X85" s="186">
        <f>+(W85-U85)/U85</f>
        <v>0.10638297872340438</v>
      </c>
      <c r="Y85" s="180">
        <f>Y84*2</f>
        <v>124.80000000000001</v>
      </c>
      <c r="Z85" s="186">
        <f>+(Y85-W85)/W85</f>
        <v>0</v>
      </c>
      <c r="AA85" s="180">
        <f>AA84*2</f>
        <v>126</v>
      </c>
      <c r="AB85" s="186">
        <f>+(AA85-Y85)/Y85</f>
        <v>9.615384615384524E-3</v>
      </c>
      <c r="AC85" s="180">
        <f>AC84*2</f>
        <v>138</v>
      </c>
      <c r="AD85" s="186">
        <f>+(AC85-AA85)/AA85</f>
        <v>9.5238095238095233E-2</v>
      </c>
      <c r="AE85" s="180">
        <f>AE84*2</f>
        <v>151.19999999999999</v>
      </c>
      <c r="AF85" s="186">
        <f t="shared" si="83"/>
        <v>9.5652173913043398E-2</v>
      </c>
      <c r="AG85" s="180">
        <f>AG84*2</f>
        <v>163.68</v>
      </c>
      <c r="AH85" s="186">
        <f>(AG85-AE85)/AE85</f>
        <v>8.2539682539682663E-2</v>
      </c>
      <c r="AK85" s="180">
        <f>AK84*2</f>
        <v>166.8</v>
      </c>
      <c r="AL85" s="186">
        <f>(AK85-AG85)/AG85</f>
        <v>1.9061583577712638E-2</v>
      </c>
      <c r="AN85" s="187">
        <f>AN84*2</f>
        <v>169.92000000000002</v>
      </c>
      <c r="AO85" s="188">
        <f>AO84*2</f>
        <v>169.92000000000002</v>
      </c>
      <c r="AP85" s="188"/>
      <c r="AQ85" s="187">
        <f>AQ84*2</f>
        <v>169.92000000000002</v>
      </c>
      <c r="AR85" s="187">
        <f>AR84*2</f>
        <v>169.92000000000002</v>
      </c>
      <c r="AS85" s="187"/>
      <c r="AT85" s="187">
        <f>AT84*2</f>
        <v>169.92000000000002</v>
      </c>
      <c r="AU85" s="189">
        <f>AU84*2</f>
        <v>169.92000000000002</v>
      </c>
      <c r="AV85" s="189"/>
      <c r="AW85" s="189">
        <f>AW84*2</f>
        <v>169.92000000000002</v>
      </c>
      <c r="AX85" s="190">
        <f>AX84*2</f>
        <v>169.92000000000002</v>
      </c>
      <c r="AY85" s="194">
        <f>AY84*2</f>
        <v>173.28</v>
      </c>
      <c r="AZ85" s="195">
        <f>AY85-AW85</f>
        <v>3.3599999999999852</v>
      </c>
      <c r="BA85" s="196">
        <f>+AZ85/AT85</f>
        <v>1.977401129943494E-2</v>
      </c>
    </row>
    <row r="86" spans="3:53" ht="13.5" customHeight="1" x14ac:dyDescent="0.2">
      <c r="S86" s="51"/>
      <c r="T86" s="51"/>
      <c r="AX86" s="25"/>
      <c r="AY86" s="25"/>
      <c r="AZ86" s="25"/>
      <c r="BA86" s="25"/>
    </row>
    <row r="87" spans="3:53" ht="40.5" customHeight="1" x14ac:dyDescent="0.2">
      <c r="C87" s="197" t="s">
        <v>147</v>
      </c>
      <c r="D87" s="198"/>
      <c r="E87" s="198"/>
      <c r="F87" s="198"/>
      <c r="G87" s="198"/>
      <c r="H87" s="198"/>
      <c r="I87" s="198"/>
      <c r="J87" s="198"/>
      <c r="K87" s="198"/>
      <c r="L87" s="198"/>
      <c r="M87" s="198"/>
      <c r="N87" s="198"/>
      <c r="O87" s="198"/>
      <c r="P87" s="198"/>
      <c r="Q87" s="198"/>
      <c r="R87" s="198"/>
      <c r="S87" s="199"/>
      <c r="T87" s="200"/>
      <c r="W87" s="201" t="s">
        <v>148</v>
      </c>
      <c r="AF87" s="201"/>
      <c r="AG87" s="201"/>
      <c r="AH87" s="202"/>
      <c r="AI87" s="202"/>
      <c r="AJ87" s="202"/>
      <c r="AK87" s="202"/>
      <c r="AL87" s="202"/>
      <c r="AX87" s="25"/>
      <c r="AY87" s="25"/>
      <c r="AZ87" s="25"/>
      <c r="BA87" s="25"/>
    </row>
    <row r="88" spans="3:53" ht="12.95" customHeight="1" x14ac:dyDescent="0.2">
      <c r="C88" s="203" t="s">
        <v>149</v>
      </c>
      <c r="D88" s="204"/>
      <c r="E88" s="204"/>
      <c r="F88" s="204"/>
      <c r="G88" s="204"/>
      <c r="H88" s="204"/>
      <c r="I88" s="204"/>
      <c r="J88" s="204"/>
      <c r="K88" s="204"/>
      <c r="L88" s="204"/>
      <c r="M88" s="204"/>
      <c r="N88" s="204"/>
      <c r="O88" s="204"/>
      <c r="P88" s="204"/>
      <c r="Q88" s="204"/>
      <c r="R88" s="204"/>
      <c r="S88" s="205"/>
      <c r="T88" s="130"/>
      <c r="U88" s="186"/>
      <c r="V88" s="1"/>
      <c r="AF88" s="202"/>
      <c r="AG88" s="206"/>
      <c r="AH88" s="207" t="s">
        <v>150</v>
      </c>
      <c r="AI88" s="208"/>
      <c r="AJ88" s="209"/>
      <c r="AK88" s="209"/>
      <c r="AL88" s="209"/>
      <c r="AU88" s="1"/>
      <c r="AV88" s="1"/>
      <c r="AW88" s="1"/>
      <c r="AX88" s="1"/>
      <c r="AY88" s="1"/>
      <c r="AZ88" s="1"/>
      <c r="BA88" s="1"/>
    </row>
    <row r="89" spans="3:53" ht="12.75" customHeight="1" x14ac:dyDescent="0.2">
      <c r="C89" s="210"/>
      <c r="D89" s="211"/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11"/>
      <c r="P89" s="211"/>
      <c r="Q89" s="211"/>
      <c r="R89" s="211"/>
      <c r="S89" s="212"/>
      <c r="T89" s="130"/>
      <c r="U89" s="213"/>
      <c r="V89" s="1"/>
      <c r="AA89" s="214" t="s">
        <v>151</v>
      </c>
      <c r="AB89" s="215"/>
      <c r="AC89" s="216"/>
      <c r="AF89" s="202"/>
      <c r="AG89" s="206"/>
      <c r="AH89" s="217" t="s">
        <v>152</v>
      </c>
      <c r="AI89" s="218"/>
      <c r="AJ89" s="202"/>
      <c r="AK89" s="202"/>
      <c r="AL89" s="202"/>
      <c r="AU89" s="1"/>
      <c r="AV89" s="1"/>
      <c r="AW89" s="1"/>
      <c r="AX89" s="1"/>
      <c r="AY89" s="1"/>
      <c r="AZ89" s="1"/>
      <c r="BA89" s="1"/>
    </row>
    <row r="90" spans="3:53" ht="12.95" customHeight="1" x14ac:dyDescent="0.2">
      <c r="C90" s="219" t="s">
        <v>24</v>
      </c>
      <c r="S90" s="51"/>
      <c r="T90" s="130"/>
      <c r="U90" s="213"/>
      <c r="V90" s="1"/>
      <c r="W90" s="201"/>
      <c r="X90" s="201"/>
      <c r="Y90" s="201"/>
      <c r="AA90" s="220" t="s">
        <v>153</v>
      </c>
      <c r="AF90" s="202"/>
      <c r="AG90" s="206"/>
      <c r="AH90" s="221" t="s">
        <v>154</v>
      </c>
      <c r="AI90" s="206"/>
      <c r="AJ90" s="206"/>
      <c r="AK90" s="206"/>
      <c r="AL90" s="222"/>
      <c r="AU90" s="1"/>
      <c r="AV90" s="1"/>
      <c r="AW90" s="1"/>
      <c r="AX90" s="1"/>
      <c r="AY90" s="1"/>
      <c r="AZ90" s="1"/>
      <c r="BA90" s="1"/>
    </row>
    <row r="91" spans="3:53" ht="12.75" customHeight="1" x14ac:dyDescent="0.2">
      <c r="C91" s="223"/>
      <c r="S91" s="51"/>
      <c r="T91" s="130"/>
      <c r="U91" s="213"/>
      <c r="V91" s="1"/>
      <c r="AA91" s="220" t="s">
        <v>155</v>
      </c>
      <c r="AC91" s="216"/>
      <c r="AJ91" s="23" t="s">
        <v>156</v>
      </c>
      <c r="AK91" s="202"/>
      <c r="AL91" s="222"/>
      <c r="AU91" s="1"/>
      <c r="AV91" s="1"/>
      <c r="AW91" s="1"/>
      <c r="AX91" s="1"/>
      <c r="AY91" s="1"/>
      <c r="AZ91" s="1"/>
      <c r="BA91" s="1"/>
    </row>
    <row r="92" spans="3:53" ht="12.75" customHeight="1" x14ac:dyDescent="0.2">
      <c r="C92" s="219"/>
      <c r="S92" s="51"/>
      <c r="T92" s="130"/>
      <c r="U92" s="213"/>
      <c r="V92" s="1"/>
      <c r="AA92" s="220" t="s">
        <v>157</v>
      </c>
      <c r="AC92" s="216"/>
      <c r="AJ92" s="1">
        <v>4000</v>
      </c>
      <c r="AK92" s="1"/>
      <c r="AU92" s="1"/>
      <c r="AV92" s="1"/>
      <c r="AW92" s="1"/>
      <c r="AX92" s="1"/>
      <c r="AY92" s="1"/>
      <c r="AZ92" s="1"/>
      <c r="BA92" s="1"/>
    </row>
    <row r="93" spans="3:53" ht="12.75" hidden="1" customHeight="1" x14ac:dyDescent="0.2">
      <c r="C93" s="219"/>
      <c r="S93" s="51"/>
      <c r="T93" s="130"/>
      <c r="U93" s="213"/>
      <c r="V93" s="1"/>
      <c r="AA93" s="220" t="s">
        <v>158</v>
      </c>
      <c r="AC93" s="216"/>
      <c r="AJ93" s="224">
        <v>2500</v>
      </c>
      <c r="AK93" s="1"/>
      <c r="AR93" s="225"/>
      <c r="AS93" s="225"/>
      <c r="AT93" s="225"/>
      <c r="AU93" s="225"/>
      <c r="AV93" s="225"/>
      <c r="AW93" s="225"/>
      <c r="AX93" s="225"/>
      <c r="AY93" s="225"/>
      <c r="AZ93" s="225"/>
      <c r="BA93" s="225"/>
    </row>
    <row r="94" spans="3:53" ht="12.75" hidden="1" customHeight="1" x14ac:dyDescent="0.2">
      <c r="C94" s="219"/>
      <c r="S94" s="51"/>
      <c r="T94" s="130"/>
      <c r="U94" s="213"/>
      <c r="V94" s="1"/>
      <c r="AA94" s="220" t="s">
        <v>159</v>
      </c>
      <c r="AC94" s="216"/>
      <c r="AF94" s="202"/>
      <c r="AG94" s="206"/>
      <c r="AJ94" s="226">
        <f>6500</f>
        <v>6500</v>
      </c>
      <c r="AK94" s="1"/>
      <c r="AR94" s="225"/>
      <c r="AS94" s="225"/>
      <c r="AT94" s="225"/>
      <c r="AU94" s="225"/>
      <c r="AV94" s="225"/>
      <c r="AW94" s="225"/>
      <c r="AX94" s="225"/>
      <c r="AY94" s="225"/>
      <c r="AZ94" s="225"/>
      <c r="BA94" s="225"/>
    </row>
    <row r="95" spans="3:53" ht="12.75" hidden="1" customHeight="1" x14ac:dyDescent="0.2">
      <c r="C95" s="223"/>
      <c r="S95" s="51"/>
      <c r="T95" s="130"/>
      <c r="U95" s="213"/>
      <c r="V95" s="1"/>
      <c r="AA95" s="220" t="s">
        <v>160</v>
      </c>
      <c r="AC95" s="216"/>
      <c r="AF95" s="202"/>
      <c r="AG95" s="206"/>
      <c r="AJ95" s="1">
        <v>1249</v>
      </c>
      <c r="AK95" s="1"/>
      <c r="AR95" s="225"/>
      <c r="AS95" s="225"/>
      <c r="AT95" s="225"/>
      <c r="AU95" s="225"/>
      <c r="AV95" s="225"/>
      <c r="AW95" s="225"/>
      <c r="AX95" s="225"/>
      <c r="AY95" s="225"/>
      <c r="AZ95" s="225"/>
      <c r="BA95" s="225"/>
    </row>
    <row r="96" spans="3:53" ht="12.75" hidden="1" customHeight="1" x14ac:dyDescent="0.2">
      <c r="C96" s="223"/>
      <c r="S96" s="51"/>
      <c r="T96" s="130"/>
      <c r="U96" s="213"/>
      <c r="V96" s="1"/>
      <c r="AA96" s="227" t="s">
        <v>161</v>
      </c>
      <c r="AB96" s="228"/>
      <c r="AC96" s="216"/>
      <c r="AG96" s="206"/>
      <c r="AJ96" s="224">
        <v>54</v>
      </c>
      <c r="AK96" s="1"/>
      <c r="AR96" s="225"/>
      <c r="AS96" s="225"/>
      <c r="AT96" s="225"/>
      <c r="AU96" s="225"/>
      <c r="AV96" s="225"/>
      <c r="AW96" s="225"/>
      <c r="AX96" s="225"/>
      <c r="AY96" s="225"/>
      <c r="AZ96" s="225"/>
      <c r="BA96" s="225"/>
    </row>
    <row r="97" spans="3:57" ht="12.75" hidden="1" customHeight="1" x14ac:dyDescent="0.2">
      <c r="C97" s="223"/>
      <c r="S97" s="51"/>
      <c r="T97" s="130"/>
      <c r="U97" s="213"/>
      <c r="V97" s="1"/>
      <c r="Z97" s="216"/>
      <c r="AB97" s="201"/>
      <c r="AE97" s="202"/>
      <c r="AF97" s="206"/>
      <c r="AG97" s="206"/>
      <c r="AJ97" s="1">
        <f>AJ94-AJ95-AJ96</f>
        <v>5197</v>
      </c>
      <c r="AK97" s="1"/>
      <c r="AR97" s="225"/>
      <c r="AS97" s="225"/>
      <c r="AT97" s="225"/>
      <c r="AU97" s="225"/>
      <c r="AV97" s="225"/>
      <c r="AW97" s="225"/>
      <c r="AX97" s="225"/>
      <c r="AY97" s="225"/>
      <c r="AZ97" s="225"/>
      <c r="BA97" s="225"/>
    </row>
    <row r="98" spans="3:57" ht="12.75" customHeight="1" x14ac:dyDescent="0.2">
      <c r="C98" s="223"/>
      <c r="S98" s="51"/>
      <c r="T98" s="130"/>
      <c r="U98" s="213"/>
      <c r="V98" s="1"/>
      <c r="Z98" s="216"/>
      <c r="AA98" s="216" t="s">
        <v>162</v>
      </c>
      <c r="AB98" s="201"/>
      <c r="AE98" s="202"/>
      <c r="AF98" s="202"/>
      <c r="AG98" s="229"/>
      <c r="AH98" s="230" t="s">
        <v>163</v>
      </c>
      <c r="AI98" s="229"/>
      <c r="AJ98" s="229"/>
      <c r="AK98" s="229"/>
      <c r="AL98" s="222"/>
      <c r="AU98" s="1"/>
      <c r="AV98" s="1"/>
      <c r="AW98" s="1"/>
      <c r="AX98" s="1"/>
      <c r="AY98" s="1"/>
      <c r="AZ98" s="1"/>
      <c r="BA98" s="1"/>
    </row>
    <row r="99" spans="3:57" ht="12.95" customHeight="1" x14ac:dyDescent="0.2">
      <c r="C99" s="1"/>
      <c r="S99" s="51"/>
      <c r="T99" s="130"/>
      <c r="U99" s="186"/>
      <c r="W99" s="216"/>
      <c r="Z99" s="216"/>
      <c r="AE99" s="1"/>
      <c r="AG99" s="206"/>
      <c r="AH99" s="222"/>
      <c r="AI99" s="206"/>
      <c r="AJ99" s="206"/>
      <c r="AK99" s="206"/>
      <c r="AL99" s="222"/>
      <c r="AU99" s="1"/>
      <c r="AV99" s="1"/>
      <c r="AW99" s="1"/>
      <c r="AX99" s="1"/>
      <c r="AY99" s="1"/>
      <c r="AZ99" s="1"/>
      <c r="BA99" s="1"/>
      <c r="BB99" s="225"/>
      <c r="BC99" s="225"/>
      <c r="BD99" s="225"/>
      <c r="BE99" s="231"/>
    </row>
    <row r="100" spans="3:57" ht="12.95" customHeight="1" x14ac:dyDescent="0.2">
      <c r="C100" s="219"/>
      <c r="S100" s="51"/>
      <c r="T100" s="130"/>
      <c r="U100" s="186"/>
      <c r="W100" s="216"/>
      <c r="Z100" s="216"/>
      <c r="AE100" s="1"/>
      <c r="AF100" s="206"/>
      <c r="AG100" s="1"/>
      <c r="AH100" s="206"/>
      <c r="AI100" s="1"/>
      <c r="AJ100" s="1"/>
      <c r="AK100" s="1"/>
      <c r="AL100" s="206"/>
      <c r="AU100" s="1"/>
      <c r="AV100" s="1"/>
      <c r="AW100" s="1"/>
      <c r="AX100" s="1"/>
      <c r="AY100" s="1"/>
      <c r="AZ100" s="1"/>
      <c r="BA100" s="1"/>
      <c r="BB100" s="225"/>
      <c r="BC100" s="225"/>
      <c r="BD100" s="225"/>
      <c r="BE100" s="231"/>
    </row>
    <row r="101" spans="3:57" ht="12.95" customHeight="1" x14ac:dyDescent="0.2">
      <c r="C101" s="1"/>
      <c r="S101" s="51"/>
      <c r="T101" s="130"/>
      <c r="U101" s="184"/>
      <c r="W101" s="216"/>
      <c r="Y101" s="23" t="s">
        <v>24</v>
      </c>
      <c r="AL101" s="202"/>
      <c r="AU101" s="1"/>
      <c r="AV101" s="1"/>
      <c r="AW101" s="1"/>
      <c r="AX101" s="1"/>
      <c r="AY101" s="1"/>
      <c r="AZ101" s="1"/>
      <c r="BA101" s="1"/>
      <c r="BB101" s="225"/>
      <c r="BC101" s="225"/>
      <c r="BD101" s="225"/>
      <c r="BE101" s="231"/>
    </row>
    <row r="102" spans="3:57" ht="12.95" customHeight="1" x14ac:dyDescent="0.2">
      <c r="C102" s="1"/>
      <c r="S102" s="51"/>
      <c r="T102" s="130"/>
      <c r="U102" s="184"/>
      <c r="W102" s="201"/>
      <c r="X102" s="201"/>
      <c r="Y102" s="201"/>
      <c r="AA102" s="201"/>
      <c r="AB102" s="201"/>
      <c r="AL102" s="209"/>
      <c r="AU102" s="1"/>
      <c r="AV102" s="1"/>
      <c r="AW102" s="1"/>
      <c r="AX102" s="1"/>
      <c r="AY102" s="1"/>
      <c r="AZ102" s="1"/>
      <c r="BA102" s="1"/>
    </row>
    <row r="103" spans="3:57" ht="15" x14ac:dyDescent="0.2">
      <c r="S103" s="51"/>
      <c r="T103" s="130"/>
      <c r="U103" s="184"/>
      <c r="W103" s="201"/>
      <c r="X103" s="201"/>
      <c r="Y103" s="201"/>
      <c r="AA103" s="201"/>
      <c r="AB103" s="201"/>
      <c r="AL103" s="202"/>
      <c r="AU103" s="1"/>
      <c r="AV103" s="1"/>
      <c r="AW103" s="1"/>
      <c r="AX103" s="1"/>
      <c r="AY103" s="1"/>
      <c r="AZ103" s="1"/>
      <c r="BA103" s="1"/>
    </row>
    <row r="104" spans="3:57" ht="12.95" customHeight="1" x14ac:dyDescent="0.2">
      <c r="C104" s="51"/>
      <c r="S104" s="186"/>
      <c r="T104" s="186"/>
      <c r="V104" s="23"/>
      <c r="AC104" s="202"/>
      <c r="AU104" s="1"/>
      <c r="AV104" s="1"/>
      <c r="AW104" s="1"/>
      <c r="AX104" s="1"/>
      <c r="AY104" s="1"/>
      <c r="AZ104" s="1"/>
      <c r="BA104" s="1"/>
    </row>
    <row r="105" spans="3:57" ht="75" customHeight="1" x14ac:dyDescent="0.2">
      <c r="C105" s="51"/>
      <c r="R105" s="1"/>
      <c r="S105" s="1"/>
      <c r="T105" s="1"/>
      <c r="U105" s="1"/>
      <c r="V105" s="23"/>
      <c r="AC105" s="202"/>
      <c r="AD105" s="202"/>
      <c r="AE105" s="202"/>
      <c r="AG105" s="202"/>
      <c r="AI105" s="202"/>
      <c r="AJ105" s="202"/>
      <c r="AK105" s="202"/>
      <c r="AU105" s="1"/>
      <c r="AV105" s="1"/>
      <c r="AW105" s="1"/>
      <c r="AX105" s="1"/>
      <c r="AY105" s="1"/>
      <c r="AZ105" s="1"/>
      <c r="BA105" s="1"/>
    </row>
    <row r="106" spans="3:57" ht="15" x14ac:dyDescent="0.2">
      <c r="C106" s="51"/>
      <c r="R106" s="1"/>
      <c r="S106" s="1"/>
      <c r="T106" s="1"/>
      <c r="U106" s="1"/>
      <c r="V106" s="23"/>
      <c r="AC106" s="209"/>
      <c r="AD106" s="209"/>
      <c r="AE106" s="209"/>
      <c r="AG106" s="209"/>
      <c r="AI106" s="209"/>
      <c r="AJ106" s="209"/>
      <c r="AK106" s="209"/>
      <c r="AU106" s="1"/>
      <c r="AV106" s="1"/>
      <c r="AW106" s="1"/>
      <c r="AX106" s="1"/>
      <c r="AY106" s="1"/>
      <c r="AZ106" s="1"/>
      <c r="BA106" s="1"/>
    </row>
    <row r="107" spans="3:57" ht="15" x14ac:dyDescent="0.2">
      <c r="C107" s="51"/>
      <c r="R107" s="1"/>
      <c r="S107" s="1"/>
      <c r="T107" s="1"/>
      <c r="V107" s="23"/>
      <c r="AC107" s="202"/>
      <c r="AD107" s="202"/>
      <c r="AE107" s="202"/>
      <c r="AG107" s="202"/>
      <c r="AI107" s="202"/>
      <c r="AJ107" s="202"/>
      <c r="AK107" s="202"/>
      <c r="AU107" s="1"/>
      <c r="AV107" s="1"/>
      <c r="AW107" s="1"/>
      <c r="AX107" s="1"/>
      <c r="AY107" s="1"/>
      <c r="AZ107" s="1"/>
      <c r="BA107" s="1"/>
    </row>
    <row r="108" spans="3:57" ht="15" x14ac:dyDescent="0.2">
      <c r="C108" s="51"/>
      <c r="R108" s="1"/>
      <c r="S108" s="1"/>
      <c r="T108" s="1"/>
      <c r="V108" s="23"/>
      <c r="AC108" s="209"/>
      <c r="AD108" s="209"/>
      <c r="AE108" s="209"/>
      <c r="AG108" s="209"/>
      <c r="AI108" s="209"/>
      <c r="AJ108" s="209"/>
      <c r="AK108" s="209"/>
      <c r="AU108" s="1"/>
      <c r="AV108" s="1"/>
      <c r="AW108" s="1"/>
      <c r="AX108" s="1"/>
      <c r="AY108" s="1"/>
      <c r="AZ108" s="1"/>
      <c r="BA108" s="1"/>
    </row>
    <row r="109" spans="3:57" ht="15" x14ac:dyDescent="0.2">
      <c r="C109" s="51"/>
      <c r="R109" s="1"/>
      <c r="S109" s="1"/>
      <c r="T109" s="1"/>
      <c r="V109" s="23"/>
      <c r="AC109" s="202"/>
      <c r="AD109" s="202"/>
      <c r="AE109" s="202"/>
      <c r="AG109" s="202"/>
      <c r="AI109" s="202"/>
      <c r="AJ109" s="202"/>
      <c r="AK109" s="202"/>
      <c r="AU109" s="1"/>
      <c r="AV109" s="1"/>
      <c r="AW109" s="1"/>
      <c r="AX109" s="1"/>
      <c r="AY109" s="1"/>
      <c r="AZ109" s="1"/>
      <c r="BA109" s="1"/>
    </row>
    <row r="110" spans="3:57" ht="15" x14ac:dyDescent="0.2">
      <c r="C110" s="51"/>
      <c r="R110" s="1"/>
      <c r="S110" s="1"/>
      <c r="T110" s="1"/>
      <c r="V110" s="23"/>
      <c r="AC110" s="202"/>
      <c r="AD110" s="202"/>
      <c r="AE110" s="202"/>
      <c r="AG110" s="202"/>
      <c r="AI110" s="202"/>
      <c r="AJ110" s="202"/>
      <c r="AK110" s="202"/>
      <c r="AU110" s="1"/>
      <c r="AV110" s="1"/>
      <c r="AW110" s="1"/>
      <c r="AX110" s="1"/>
      <c r="AY110" s="1"/>
      <c r="AZ110" s="1"/>
      <c r="BA110" s="1"/>
    </row>
    <row r="111" spans="3:57" ht="15" x14ac:dyDescent="0.2">
      <c r="C111" s="51"/>
      <c r="R111" s="1"/>
      <c r="S111" s="1"/>
      <c r="T111" s="1"/>
      <c r="V111" s="23"/>
      <c r="AC111" s="202"/>
      <c r="AD111" s="202"/>
      <c r="AE111" s="202"/>
      <c r="AG111" s="202"/>
      <c r="AI111" s="202"/>
      <c r="AJ111" s="202"/>
      <c r="AK111" s="202"/>
      <c r="AU111" s="1"/>
      <c r="AV111" s="1"/>
      <c r="AW111" s="1"/>
      <c r="AX111" s="1"/>
      <c r="AY111" s="1"/>
      <c r="AZ111" s="1"/>
      <c r="BA111" s="1"/>
    </row>
    <row r="112" spans="3:57" ht="15" x14ac:dyDescent="0.2">
      <c r="C112" s="51"/>
      <c r="R112" s="1"/>
      <c r="S112" s="1"/>
      <c r="T112" s="1"/>
      <c r="V112" s="23"/>
      <c r="AC112" s="202"/>
      <c r="AD112" s="202"/>
      <c r="AE112" s="202"/>
      <c r="AG112" s="202"/>
      <c r="AI112" s="202"/>
      <c r="AJ112" s="202"/>
      <c r="AK112" s="202"/>
      <c r="AU112" s="1"/>
      <c r="AV112" s="1"/>
      <c r="AW112" s="1"/>
      <c r="AX112" s="1"/>
      <c r="AY112" s="1"/>
      <c r="AZ112" s="1"/>
      <c r="BA112" s="1"/>
    </row>
    <row r="113" spans="3:53" ht="15" x14ac:dyDescent="0.2">
      <c r="C113" s="51"/>
      <c r="I113" s="232"/>
      <c r="J113" s="232"/>
      <c r="K113" s="232"/>
      <c r="L113" s="232"/>
      <c r="R113" s="1"/>
      <c r="S113" s="1"/>
      <c r="T113" s="1"/>
      <c r="V113" s="23"/>
      <c r="AC113" s="202"/>
      <c r="AD113" s="202"/>
      <c r="AE113" s="202"/>
      <c r="AG113" s="202"/>
      <c r="AI113" s="202"/>
      <c r="AJ113" s="202"/>
      <c r="AK113" s="202"/>
      <c r="AU113" s="1"/>
      <c r="AV113" s="1"/>
      <c r="AW113" s="1"/>
      <c r="AX113" s="1"/>
      <c r="AY113" s="1"/>
      <c r="AZ113" s="1"/>
      <c r="BA113" s="1"/>
    </row>
    <row r="114" spans="3:53" ht="15" x14ac:dyDescent="0.2">
      <c r="C114" s="51"/>
      <c r="I114" s="233">
        <v>1.4999999999999999E-2</v>
      </c>
      <c r="J114" s="233"/>
      <c r="K114" s="233"/>
      <c r="L114" s="233">
        <v>2.5000000000000001E-2</v>
      </c>
      <c r="R114" s="1"/>
      <c r="S114" s="1"/>
      <c r="T114" s="1"/>
      <c r="V114" s="23"/>
      <c r="AC114" s="209"/>
      <c r="AD114" s="209"/>
      <c r="AE114" s="209"/>
      <c r="AG114" s="209"/>
      <c r="AI114" s="209"/>
      <c r="AJ114" s="209"/>
      <c r="AK114" s="209"/>
      <c r="AU114" s="1"/>
      <c r="AV114" s="1"/>
      <c r="AW114" s="1"/>
      <c r="AX114" s="1"/>
      <c r="AY114" s="1"/>
      <c r="AZ114" s="1"/>
      <c r="BA114" s="1"/>
    </row>
    <row r="115" spans="3:53" ht="15" x14ac:dyDescent="0.2">
      <c r="C115" s="51"/>
      <c r="I115" s="234">
        <f>($Q$83*I114)+$Q$83</f>
        <v>4.2629999999999999</v>
      </c>
      <c r="J115" s="234">
        <f t="shared" ref="J115:K115" si="84">($P$83*J114)+$P$83</f>
        <v>4.07</v>
      </c>
      <c r="K115" s="234">
        <f t="shared" si="84"/>
        <v>4.07</v>
      </c>
      <c r="L115" s="234">
        <f>($Q$83*L114)+$Q$83</f>
        <v>4.3050000000000006</v>
      </c>
      <c r="R115" s="1"/>
      <c r="S115" s="1"/>
      <c r="T115" s="1"/>
      <c r="V115" s="23"/>
      <c r="AC115" s="202"/>
      <c r="AD115" s="202"/>
      <c r="AE115" s="202"/>
      <c r="AG115" s="202"/>
      <c r="AI115" s="202"/>
      <c r="AJ115" s="202"/>
      <c r="AK115" s="202"/>
      <c r="AU115" s="1"/>
      <c r="AV115" s="1"/>
      <c r="AW115" s="1"/>
      <c r="AX115" s="1"/>
      <c r="AY115" s="1"/>
      <c r="AZ115" s="1"/>
      <c r="BA115" s="1"/>
    </row>
    <row r="116" spans="3:53" ht="15" x14ac:dyDescent="0.2">
      <c r="J116" s="234">
        <f>I115*12</f>
        <v>51.155999999999999</v>
      </c>
      <c r="K116" s="234">
        <f>J115*12</f>
        <v>48.84</v>
      </c>
      <c r="L116" s="234">
        <f>K115*12</f>
        <v>48.84</v>
      </c>
      <c r="M116" s="234">
        <f>L115*12</f>
        <v>51.660000000000011</v>
      </c>
      <c r="S116" s="1"/>
      <c r="T116" s="1"/>
      <c r="U116" s="1"/>
      <c r="AD116" s="209"/>
      <c r="AE116" s="209"/>
      <c r="AF116" s="209"/>
      <c r="AG116" s="209"/>
      <c r="AH116" s="209"/>
      <c r="AI116" s="209"/>
      <c r="AJ116" s="209"/>
      <c r="AK116" s="209"/>
      <c r="AL116" s="209"/>
      <c r="AU116" s="1"/>
      <c r="AV116" s="1"/>
      <c r="AW116" s="1"/>
      <c r="AX116" s="1"/>
      <c r="AY116" s="1"/>
      <c r="AZ116" s="1"/>
      <c r="BA116" s="1"/>
    </row>
    <row r="117" spans="3:53" ht="15" x14ac:dyDescent="0.2">
      <c r="J117" s="234">
        <f>J116*2</f>
        <v>102.312</v>
      </c>
      <c r="K117" s="234">
        <f>K116*2</f>
        <v>97.68</v>
      </c>
      <c r="L117" s="234">
        <f>L116*2</f>
        <v>97.68</v>
      </c>
      <c r="M117" s="234">
        <f>M116*2</f>
        <v>103.32000000000002</v>
      </c>
      <c r="S117" s="1"/>
      <c r="T117" s="1"/>
      <c r="U117" s="1"/>
      <c r="AD117" s="202"/>
      <c r="AE117" s="202"/>
      <c r="AF117" s="202"/>
      <c r="AG117" s="202"/>
      <c r="AH117" s="202"/>
      <c r="AI117" s="202"/>
      <c r="AJ117" s="202"/>
      <c r="AK117" s="202"/>
      <c r="AL117" s="202"/>
      <c r="AU117" s="1"/>
      <c r="AV117" s="1"/>
      <c r="AW117" s="1"/>
      <c r="AX117" s="1"/>
      <c r="AY117" s="1"/>
      <c r="AZ117" s="1"/>
      <c r="BA117" s="1"/>
    </row>
    <row r="118" spans="3:53" ht="15" x14ac:dyDescent="0.2">
      <c r="J118" s="232"/>
      <c r="K118" s="232"/>
      <c r="L118" s="232"/>
      <c r="M118" s="232"/>
      <c r="S118" s="1"/>
      <c r="T118" s="1"/>
      <c r="U118" s="1"/>
      <c r="AD118" s="202"/>
      <c r="AE118" s="202"/>
      <c r="AF118" s="202"/>
      <c r="AG118" s="202"/>
      <c r="AH118" s="202"/>
      <c r="AI118" s="202"/>
      <c r="AJ118" s="202"/>
      <c r="AK118" s="202"/>
      <c r="AL118" s="202"/>
      <c r="AU118" s="1"/>
      <c r="AV118" s="1"/>
      <c r="AW118" s="1"/>
      <c r="AX118" s="1"/>
      <c r="AY118" s="1"/>
      <c r="AZ118" s="1"/>
      <c r="BA118" s="1"/>
    </row>
    <row r="119" spans="3:53" ht="15" x14ac:dyDescent="0.2">
      <c r="J119" s="232">
        <f>$Q$75*I114</f>
        <v>12300</v>
      </c>
      <c r="K119" s="232">
        <f>$P$75*J114</f>
        <v>0</v>
      </c>
      <c r="L119" s="232">
        <f>$P$75*K114</f>
        <v>0</v>
      </c>
      <c r="M119" s="232">
        <f>$Q$75*L114</f>
        <v>20500</v>
      </c>
      <c r="S119" s="1"/>
      <c r="T119" s="1"/>
      <c r="U119" s="1"/>
      <c r="AD119" s="202"/>
      <c r="AE119" s="202"/>
      <c r="AF119" s="202"/>
      <c r="AG119" s="202"/>
      <c r="AH119" s="202"/>
      <c r="AI119" s="202"/>
      <c r="AJ119" s="202"/>
      <c r="AK119" s="202"/>
      <c r="AL119" s="202"/>
      <c r="AU119" s="1"/>
      <c r="AV119" s="1"/>
      <c r="AW119" s="1"/>
      <c r="AX119" s="1"/>
      <c r="AY119" s="1"/>
      <c r="AZ119" s="1"/>
      <c r="BA119" s="1"/>
    </row>
    <row r="120" spans="3:53" ht="15" x14ac:dyDescent="0.2">
      <c r="J120" s="232">
        <f>$S$77+J119</f>
        <v>-207229.75</v>
      </c>
      <c r="K120" s="232">
        <f>$Q$77+K119</f>
        <v>-212630.56000000006</v>
      </c>
      <c r="L120" s="232">
        <f>$Q$77+L119</f>
        <v>-212630.56000000006</v>
      </c>
      <c r="M120" s="232">
        <f>$S$77+M119</f>
        <v>-199029.75</v>
      </c>
      <c r="S120" s="1"/>
      <c r="T120" s="1"/>
      <c r="U120" s="1"/>
      <c r="AD120" s="202"/>
      <c r="AE120" s="202"/>
      <c r="AF120" s="202"/>
      <c r="AG120" s="202"/>
      <c r="AH120" s="202"/>
      <c r="AI120" s="202"/>
      <c r="AJ120" s="202"/>
      <c r="AK120" s="202"/>
      <c r="AL120" s="202"/>
      <c r="AU120" s="1"/>
      <c r="AV120" s="1"/>
      <c r="AW120" s="1"/>
      <c r="AX120" s="1"/>
      <c r="AY120" s="1"/>
      <c r="AZ120" s="1"/>
      <c r="BA120" s="1"/>
    </row>
    <row r="121" spans="3:53" ht="15" x14ac:dyDescent="0.2">
      <c r="J121" s="235">
        <f>J120/($S$75+J119)</f>
        <v>-0.24314179279596387</v>
      </c>
      <c r="K121" s="235">
        <f>K120/($Q$75+K119)</f>
        <v>-0.25930556097560981</v>
      </c>
      <c r="L121" s="235">
        <f>L120/($Q$75+L119)</f>
        <v>-0.25930556097560981</v>
      </c>
      <c r="M121" s="235">
        <f>M120/($S$75+M119)</f>
        <v>-0.23129546775130738</v>
      </c>
      <c r="S121" s="1"/>
      <c r="T121" s="1"/>
      <c r="U121" s="1"/>
      <c r="AD121" s="202"/>
      <c r="AE121" s="202"/>
      <c r="AF121" s="202"/>
      <c r="AG121" s="202"/>
      <c r="AH121" s="202"/>
      <c r="AI121" s="202"/>
      <c r="AJ121" s="202"/>
      <c r="AK121" s="202"/>
      <c r="AL121" s="202"/>
      <c r="AU121" s="1"/>
      <c r="AV121" s="1"/>
      <c r="AW121" s="1"/>
      <c r="AX121" s="1"/>
      <c r="AY121" s="1"/>
      <c r="AZ121" s="1"/>
      <c r="BA121" s="1"/>
    </row>
    <row r="122" spans="3:53" ht="15" x14ac:dyDescent="0.2">
      <c r="S122" s="1"/>
      <c r="T122" s="1"/>
      <c r="U122" s="1"/>
      <c r="AD122" s="202"/>
      <c r="AE122" s="202"/>
      <c r="AF122" s="202"/>
      <c r="AG122" s="202"/>
      <c r="AH122" s="202"/>
      <c r="AI122" s="202"/>
      <c r="AJ122" s="202"/>
      <c r="AK122" s="202"/>
      <c r="AL122" s="202"/>
      <c r="AU122" s="1"/>
      <c r="AV122" s="1"/>
      <c r="AW122" s="1"/>
      <c r="AX122" s="1"/>
      <c r="AY122" s="1"/>
      <c r="AZ122" s="1"/>
      <c r="BA122" s="1"/>
    </row>
    <row r="123" spans="3:53" ht="15" x14ac:dyDescent="0.2">
      <c r="S123" s="1"/>
      <c r="T123" s="1"/>
      <c r="U123" s="1"/>
      <c r="V123" s="1"/>
      <c r="AD123" s="209"/>
      <c r="AE123" s="209"/>
      <c r="AF123" s="209"/>
      <c r="AG123" s="209"/>
      <c r="AH123" s="209"/>
      <c r="AI123" s="209"/>
      <c r="AJ123" s="209"/>
      <c r="AK123" s="209"/>
      <c r="AL123" s="209"/>
      <c r="AU123" s="1"/>
      <c r="AV123" s="1"/>
      <c r="AW123" s="1"/>
      <c r="AX123" s="1"/>
      <c r="AY123" s="1"/>
      <c r="AZ123" s="1"/>
      <c r="BA123" s="1"/>
    </row>
    <row r="124" spans="3:53" ht="15" x14ac:dyDescent="0.2">
      <c r="S124" s="1"/>
      <c r="T124" s="1"/>
      <c r="U124" s="1"/>
      <c r="V124" s="1"/>
      <c r="AD124" s="202"/>
      <c r="AE124" s="202"/>
      <c r="AF124" s="202"/>
      <c r="AG124" s="202"/>
      <c r="AH124" s="202"/>
      <c r="AI124" s="202"/>
      <c r="AJ124" s="202"/>
      <c r="AK124" s="202"/>
      <c r="AL124" s="202"/>
      <c r="AU124" s="1"/>
      <c r="AV124" s="1"/>
      <c r="AW124" s="1"/>
      <c r="AX124" s="1"/>
      <c r="AY124" s="1"/>
      <c r="AZ124" s="1"/>
      <c r="BA124" s="1"/>
    </row>
    <row r="125" spans="3:53" ht="15" x14ac:dyDescent="0.2">
      <c r="S125" s="1"/>
      <c r="T125" s="1"/>
      <c r="U125" s="1"/>
      <c r="V125" s="1"/>
      <c r="AD125" s="209"/>
      <c r="AE125" s="209"/>
      <c r="AF125" s="209"/>
      <c r="AG125" s="209"/>
      <c r="AH125" s="209"/>
      <c r="AI125" s="209"/>
      <c r="AJ125" s="209"/>
      <c r="AK125" s="209"/>
      <c r="AL125" s="209"/>
      <c r="AU125" s="1"/>
      <c r="AV125" s="1"/>
      <c r="AW125" s="1"/>
      <c r="AX125" s="1"/>
      <c r="AY125" s="1"/>
      <c r="AZ125" s="1"/>
      <c r="BA125" s="1"/>
    </row>
    <row r="126" spans="3:53" ht="15" x14ac:dyDescent="0.2">
      <c r="S126" s="1"/>
      <c r="T126" s="1"/>
      <c r="U126" s="1"/>
      <c r="V126" s="1"/>
      <c r="AD126" s="202"/>
      <c r="AE126" s="202"/>
      <c r="AF126" s="202"/>
      <c r="AG126" s="202"/>
      <c r="AH126" s="202"/>
      <c r="AI126" s="202"/>
      <c r="AJ126" s="202"/>
      <c r="AK126" s="202"/>
      <c r="AL126" s="202"/>
      <c r="AU126" s="1"/>
      <c r="AV126" s="1"/>
      <c r="AW126" s="1"/>
      <c r="AX126" s="1"/>
      <c r="AY126" s="1"/>
      <c r="AZ126" s="1"/>
      <c r="BA126" s="1"/>
    </row>
    <row r="127" spans="3:53" ht="15" x14ac:dyDescent="0.2">
      <c r="S127" s="1"/>
      <c r="T127" s="1"/>
      <c r="U127" s="1"/>
      <c r="V127" s="1"/>
      <c r="AD127" s="209"/>
      <c r="AE127" s="209"/>
      <c r="AF127" s="209"/>
      <c r="AG127" s="209"/>
      <c r="AH127" s="209"/>
      <c r="AI127" s="209"/>
      <c r="AJ127" s="209"/>
      <c r="AK127" s="209"/>
      <c r="AL127" s="209"/>
      <c r="AU127" s="1"/>
      <c r="AV127" s="1"/>
      <c r="AW127" s="1"/>
      <c r="AX127" s="1"/>
      <c r="AY127" s="1"/>
      <c r="AZ127" s="1"/>
      <c r="BA127" s="1"/>
    </row>
    <row r="128" spans="3:53" x14ac:dyDescent="0.2">
      <c r="S128" s="1"/>
      <c r="T128" s="1"/>
      <c r="U128" s="1"/>
      <c r="V128" s="1"/>
      <c r="AU128" s="1"/>
      <c r="AV128" s="1"/>
      <c r="AW128" s="1"/>
      <c r="AX128" s="1"/>
      <c r="AY128" s="1"/>
      <c r="AZ128" s="1"/>
      <c r="BA128" s="1"/>
    </row>
    <row r="129" spans="1:53" x14ac:dyDescent="0.2">
      <c r="S129" s="1"/>
      <c r="T129" s="1"/>
      <c r="U129" s="1"/>
      <c r="V129" s="1"/>
      <c r="AU129" s="1"/>
      <c r="AV129" s="1"/>
      <c r="AW129" s="1"/>
      <c r="AX129" s="1"/>
      <c r="AY129" s="1"/>
      <c r="AZ129" s="1"/>
      <c r="BA129" s="1"/>
    </row>
    <row r="130" spans="1:53" x14ac:dyDescent="0.2">
      <c r="S130" s="1"/>
      <c r="T130" s="1"/>
      <c r="U130" s="1"/>
      <c r="V130" s="1"/>
      <c r="AU130" s="1"/>
      <c r="AV130" s="1"/>
      <c r="AW130" s="1"/>
      <c r="AX130" s="1"/>
      <c r="AY130" s="1"/>
      <c r="AZ130" s="1"/>
      <c r="BA130" s="1"/>
    </row>
    <row r="131" spans="1:53" x14ac:dyDescent="0.2">
      <c r="S131" s="1"/>
      <c r="T131" s="1"/>
      <c r="U131" s="1"/>
      <c r="V131" s="1"/>
      <c r="AU131" s="1"/>
      <c r="AV131" s="1"/>
      <c r="AW131" s="1"/>
      <c r="AX131" s="1"/>
      <c r="AY131" s="1"/>
      <c r="AZ131" s="1"/>
      <c r="BA131" s="1"/>
    </row>
    <row r="132" spans="1:53" x14ac:dyDescent="0.2">
      <c r="S132" s="131"/>
      <c r="T132" s="131"/>
      <c r="AU132" s="1"/>
      <c r="AV132" s="1"/>
      <c r="AW132" s="1"/>
      <c r="AX132" s="1"/>
      <c r="AY132" s="1"/>
      <c r="AZ132" s="1"/>
      <c r="BA132" s="1"/>
    </row>
    <row r="133" spans="1:53" x14ac:dyDescent="0.2">
      <c r="S133" s="131"/>
      <c r="T133" s="131"/>
      <c r="AU133" s="1"/>
      <c r="AV133" s="1"/>
      <c r="AW133" s="1"/>
      <c r="AX133" s="1"/>
      <c r="AY133" s="1"/>
      <c r="AZ133" s="1"/>
      <c r="BA133" s="1"/>
    </row>
    <row r="134" spans="1:53" x14ac:dyDescent="0.2">
      <c r="S134" s="131"/>
      <c r="T134" s="131"/>
      <c r="AU134" s="1"/>
      <c r="AV134" s="1"/>
      <c r="AW134" s="1"/>
      <c r="AX134" s="1"/>
      <c r="AY134" s="1"/>
      <c r="AZ134" s="1"/>
      <c r="BA134" s="1"/>
    </row>
    <row r="135" spans="1:53" x14ac:dyDescent="0.2">
      <c r="S135" s="131"/>
      <c r="T135" s="131"/>
      <c r="AU135" s="1"/>
      <c r="AV135" s="1"/>
      <c r="AW135" s="1"/>
      <c r="AX135" s="1"/>
      <c r="AY135" s="1"/>
      <c r="AZ135" s="1"/>
      <c r="BA135" s="1"/>
    </row>
    <row r="136" spans="1:53" x14ac:dyDescent="0.2">
      <c r="S136" s="131"/>
      <c r="T136" s="131"/>
      <c r="AU136" s="1"/>
      <c r="AV136" s="1"/>
      <c r="AW136" s="1"/>
      <c r="AX136" s="1"/>
      <c r="AY136" s="1"/>
      <c r="AZ136" s="1"/>
      <c r="BA136" s="1"/>
    </row>
    <row r="137" spans="1:53" x14ac:dyDescent="0.2">
      <c r="S137" s="131"/>
      <c r="T137" s="131"/>
      <c r="AU137" s="1"/>
      <c r="AV137" s="1"/>
      <c r="AW137" s="1"/>
      <c r="AX137" s="1"/>
      <c r="AY137" s="1"/>
      <c r="AZ137" s="1"/>
      <c r="BA137" s="1"/>
    </row>
    <row r="138" spans="1:53" x14ac:dyDescent="0.2">
      <c r="S138" s="131"/>
      <c r="T138" s="131"/>
      <c r="AU138" s="1"/>
      <c r="AV138" s="1"/>
      <c r="AW138" s="1"/>
      <c r="AX138" s="1"/>
      <c r="AY138" s="1"/>
      <c r="AZ138" s="1"/>
      <c r="BA138" s="1"/>
    </row>
    <row r="139" spans="1:53" x14ac:dyDescent="0.2">
      <c r="S139" s="131"/>
      <c r="T139" s="131"/>
      <c r="AU139" s="1"/>
      <c r="AV139" s="1"/>
      <c r="AW139" s="1"/>
      <c r="AX139" s="1"/>
      <c r="AY139" s="1"/>
      <c r="AZ139" s="1"/>
      <c r="BA139" s="1"/>
    </row>
    <row r="140" spans="1:53" x14ac:dyDescent="0.2">
      <c r="S140" s="131"/>
      <c r="T140" s="131"/>
      <c r="AU140" s="1"/>
      <c r="AV140" s="1"/>
      <c r="AW140" s="1"/>
      <c r="AX140" s="1"/>
      <c r="AY140" s="1"/>
      <c r="AZ140" s="1"/>
      <c r="BA140" s="1"/>
    </row>
    <row r="141" spans="1:53" x14ac:dyDescent="0.2">
      <c r="S141" s="131"/>
      <c r="T141" s="131"/>
      <c r="AU141" s="1"/>
      <c r="AV141" s="1"/>
      <c r="AW141" s="1"/>
      <c r="AX141" s="1"/>
      <c r="AY141" s="1"/>
      <c r="AZ141" s="1"/>
      <c r="BA141" s="1"/>
    </row>
    <row r="142" spans="1:53" x14ac:dyDescent="0.2">
      <c r="S142" s="131"/>
      <c r="T142" s="131"/>
      <c r="AU142" s="1"/>
      <c r="AV142" s="1"/>
      <c r="AW142" s="1"/>
      <c r="AX142" s="1"/>
      <c r="AY142" s="1"/>
      <c r="AZ142" s="1"/>
      <c r="BA142" s="1"/>
    </row>
    <row r="143" spans="1:53" s="51" customFormat="1" x14ac:dyDescent="0.2">
      <c r="A143" s="1"/>
      <c r="B143" s="2"/>
      <c r="C143" s="3"/>
      <c r="S143" s="131"/>
      <c r="T143" s="131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</row>
    <row r="144" spans="1:53" s="51" customFormat="1" x14ac:dyDescent="0.2">
      <c r="A144" s="1"/>
      <c r="B144" s="2"/>
      <c r="C144" s="3"/>
      <c r="S144" s="131"/>
      <c r="T144" s="131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</row>
    <row r="145" spans="1:53" s="51" customFormat="1" x14ac:dyDescent="0.2">
      <c r="A145" s="1"/>
      <c r="B145" s="2"/>
      <c r="C145" s="3"/>
      <c r="S145" s="131"/>
      <c r="T145" s="131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</row>
    <row r="146" spans="1:53" s="51" customFormat="1" x14ac:dyDescent="0.2">
      <c r="A146" s="1"/>
      <c r="B146" s="2"/>
      <c r="C146" s="3"/>
      <c r="S146" s="131"/>
      <c r="T146" s="131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</row>
    <row r="147" spans="1:53" s="51" customFormat="1" x14ac:dyDescent="0.2">
      <c r="A147" s="1"/>
      <c r="B147" s="2"/>
      <c r="C147" s="3"/>
      <c r="S147" s="131"/>
      <c r="T147" s="131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</row>
    <row r="148" spans="1:53" s="51" customFormat="1" x14ac:dyDescent="0.2">
      <c r="A148" s="1"/>
      <c r="B148" s="2"/>
      <c r="C148" s="3"/>
      <c r="S148" s="131"/>
      <c r="T148" s="131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</row>
    <row r="149" spans="1:53" s="51" customFormat="1" x14ac:dyDescent="0.2">
      <c r="A149" s="1"/>
      <c r="B149" s="2"/>
      <c r="C149" s="3"/>
      <c r="S149" s="131"/>
      <c r="T149" s="131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</row>
    <row r="150" spans="1:53" s="51" customFormat="1" x14ac:dyDescent="0.2">
      <c r="A150" s="1"/>
      <c r="B150" s="2"/>
      <c r="C150" s="3"/>
      <c r="S150" s="131"/>
      <c r="T150" s="131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</row>
    <row r="151" spans="1:53" s="51" customFormat="1" x14ac:dyDescent="0.2">
      <c r="A151" s="1"/>
      <c r="B151" s="2"/>
      <c r="C151" s="3"/>
      <c r="S151" s="131"/>
      <c r="T151" s="131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</row>
    <row r="152" spans="1:53" s="51" customFormat="1" x14ac:dyDescent="0.2">
      <c r="A152" s="1"/>
      <c r="B152" s="2"/>
      <c r="C152" s="3"/>
      <c r="S152" s="131"/>
      <c r="T152" s="131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</row>
    <row r="153" spans="1:53" s="51" customFormat="1" x14ac:dyDescent="0.2">
      <c r="A153" s="1"/>
      <c r="B153" s="2"/>
      <c r="C153" s="3"/>
      <c r="S153" s="131"/>
      <c r="T153" s="131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</row>
    <row r="154" spans="1:53" s="51" customFormat="1" x14ac:dyDescent="0.2">
      <c r="A154" s="1"/>
      <c r="B154" s="2"/>
      <c r="C154" s="3"/>
      <c r="S154" s="131"/>
      <c r="T154" s="131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</row>
    <row r="155" spans="1:53" s="51" customFormat="1" x14ac:dyDescent="0.2">
      <c r="A155" s="1"/>
      <c r="B155" s="2"/>
      <c r="C155" s="3"/>
      <c r="S155" s="131"/>
      <c r="T155" s="131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1"/>
      <c r="AN155" s="1"/>
      <c r="AO155" s="1"/>
      <c r="AP155" s="1"/>
      <c r="AQ155" s="1"/>
      <c r="AR155" s="1"/>
      <c r="AS155" s="1"/>
      <c r="AT155" s="1"/>
      <c r="AU155" s="24"/>
      <c r="AV155" s="24"/>
      <c r="AW155" s="24"/>
      <c r="AX155" s="236"/>
      <c r="AY155" s="236"/>
      <c r="AZ155" s="236"/>
      <c r="BA155" s="236"/>
    </row>
    <row r="156" spans="1:53" s="51" customFormat="1" x14ac:dyDescent="0.2">
      <c r="A156" s="1"/>
      <c r="B156" s="2"/>
      <c r="C156" s="3"/>
      <c r="S156" s="131"/>
      <c r="T156" s="131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1"/>
      <c r="AN156" s="1"/>
      <c r="AO156" s="1"/>
      <c r="AP156" s="1"/>
      <c r="AQ156" s="1"/>
      <c r="AR156" s="1"/>
      <c r="AS156" s="1"/>
      <c r="AT156" s="1"/>
      <c r="AU156" s="24"/>
      <c r="AV156" s="24"/>
      <c r="AW156" s="24"/>
      <c r="AX156" s="236"/>
      <c r="AY156" s="236"/>
      <c r="AZ156" s="236"/>
      <c r="BA156" s="236"/>
    </row>
    <row r="157" spans="1:53" s="51" customFormat="1" x14ac:dyDescent="0.2">
      <c r="A157" s="1"/>
      <c r="B157" s="2"/>
      <c r="C157" s="3"/>
      <c r="S157" s="131"/>
      <c r="T157" s="131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1"/>
      <c r="AN157" s="1"/>
      <c r="AO157" s="1"/>
      <c r="AP157" s="1"/>
      <c r="AQ157" s="1"/>
      <c r="AR157" s="1"/>
      <c r="AS157" s="1"/>
      <c r="AT157" s="1"/>
      <c r="AU157" s="24"/>
      <c r="AV157" s="24"/>
      <c r="AW157" s="24"/>
      <c r="AX157" s="236"/>
      <c r="AY157" s="236"/>
      <c r="AZ157" s="236"/>
      <c r="BA157" s="236"/>
    </row>
    <row r="158" spans="1:53" s="51" customFormat="1" x14ac:dyDescent="0.2">
      <c r="A158" s="1"/>
      <c r="B158" s="2"/>
      <c r="C158" s="3"/>
      <c r="S158" s="131"/>
      <c r="T158" s="131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1"/>
      <c r="AN158" s="1"/>
      <c r="AO158" s="1"/>
      <c r="AP158" s="1"/>
      <c r="AQ158" s="1"/>
      <c r="AR158" s="1"/>
      <c r="AS158" s="1"/>
      <c r="AT158" s="1"/>
      <c r="AU158" s="24"/>
      <c r="AV158" s="24"/>
      <c r="AW158" s="24"/>
      <c r="AX158" s="236"/>
      <c r="AY158" s="236"/>
      <c r="AZ158" s="236"/>
      <c r="BA158" s="236"/>
    </row>
    <row r="159" spans="1:53" s="51" customFormat="1" x14ac:dyDescent="0.2">
      <c r="A159" s="1"/>
      <c r="B159" s="2"/>
      <c r="C159" s="3"/>
      <c r="S159" s="131"/>
      <c r="T159" s="131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1"/>
      <c r="AN159" s="1"/>
      <c r="AO159" s="1"/>
      <c r="AP159" s="1"/>
      <c r="AQ159" s="1"/>
      <c r="AR159" s="1"/>
      <c r="AS159" s="1"/>
      <c r="AT159" s="1"/>
      <c r="AU159" s="24"/>
      <c r="AV159" s="24"/>
      <c r="AW159" s="24"/>
      <c r="AX159" s="236"/>
      <c r="AY159" s="236"/>
      <c r="AZ159" s="236"/>
      <c r="BA159" s="236"/>
    </row>
    <row r="160" spans="1:53" s="51" customFormat="1" x14ac:dyDescent="0.2">
      <c r="A160" s="1"/>
      <c r="B160" s="2"/>
      <c r="C160" s="3"/>
      <c r="S160" s="131"/>
      <c r="T160" s="131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1"/>
      <c r="AN160" s="1"/>
      <c r="AO160" s="1"/>
      <c r="AP160" s="1"/>
      <c r="AQ160" s="1"/>
      <c r="AR160" s="1"/>
      <c r="AS160" s="1"/>
      <c r="AT160" s="1"/>
      <c r="AU160" s="24"/>
      <c r="AV160" s="24"/>
      <c r="AW160" s="24"/>
      <c r="AX160" s="236"/>
      <c r="AY160" s="236"/>
      <c r="AZ160" s="236"/>
      <c r="BA160" s="236"/>
    </row>
    <row r="161" spans="1:53" s="51" customFormat="1" x14ac:dyDescent="0.2">
      <c r="A161" s="1"/>
      <c r="B161" s="2"/>
      <c r="C161" s="3"/>
      <c r="S161" s="131"/>
      <c r="T161" s="131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1"/>
      <c r="AN161" s="1"/>
      <c r="AO161" s="1"/>
      <c r="AP161" s="1"/>
      <c r="AQ161" s="1"/>
      <c r="AR161" s="1"/>
      <c r="AS161" s="1"/>
      <c r="AT161" s="1"/>
      <c r="AU161" s="24"/>
      <c r="AV161" s="24"/>
      <c r="AW161" s="24"/>
      <c r="AX161" s="236"/>
      <c r="AY161" s="236"/>
      <c r="AZ161" s="236"/>
      <c r="BA161" s="236"/>
    </row>
    <row r="162" spans="1:53" s="51" customFormat="1" x14ac:dyDescent="0.2">
      <c r="A162" s="1"/>
      <c r="B162" s="2"/>
      <c r="C162" s="3"/>
      <c r="S162" s="131"/>
      <c r="T162" s="131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1"/>
      <c r="AN162" s="1"/>
      <c r="AO162" s="1"/>
      <c r="AP162" s="1"/>
      <c r="AQ162" s="1"/>
      <c r="AR162" s="1"/>
      <c r="AS162" s="1"/>
      <c r="AT162" s="1"/>
      <c r="AU162" s="24"/>
      <c r="AV162" s="24"/>
      <c r="AW162" s="24"/>
      <c r="AX162" s="236"/>
      <c r="AY162" s="236"/>
      <c r="AZ162" s="236"/>
      <c r="BA162" s="236"/>
    </row>
    <row r="163" spans="1:53" s="51" customFormat="1" x14ac:dyDescent="0.2">
      <c r="A163" s="1"/>
      <c r="B163" s="2"/>
      <c r="C163" s="3"/>
      <c r="S163" s="131"/>
      <c r="T163" s="131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1"/>
      <c r="AN163" s="1"/>
      <c r="AO163" s="1"/>
      <c r="AP163" s="1"/>
      <c r="AQ163" s="1"/>
      <c r="AR163" s="1"/>
      <c r="AS163" s="1"/>
      <c r="AT163" s="1"/>
      <c r="AU163" s="24"/>
      <c r="AV163" s="24"/>
      <c r="AW163" s="24"/>
      <c r="AX163" s="236"/>
      <c r="AY163" s="236"/>
      <c r="AZ163" s="236"/>
      <c r="BA163" s="236"/>
    </row>
    <row r="164" spans="1:53" s="51" customFormat="1" x14ac:dyDescent="0.2">
      <c r="A164" s="1"/>
      <c r="B164" s="2"/>
      <c r="C164" s="3"/>
      <c r="S164" s="131"/>
      <c r="T164" s="131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1"/>
      <c r="AN164" s="1"/>
      <c r="AO164" s="1"/>
      <c r="AP164" s="1"/>
      <c r="AQ164" s="1"/>
      <c r="AR164" s="1"/>
      <c r="AS164" s="1"/>
      <c r="AT164" s="1"/>
      <c r="AU164" s="24"/>
      <c r="AV164" s="24"/>
      <c r="AW164" s="24"/>
      <c r="AX164" s="236"/>
      <c r="AY164" s="236"/>
      <c r="AZ164" s="236"/>
      <c r="BA164" s="236"/>
    </row>
    <row r="165" spans="1:53" s="51" customFormat="1" x14ac:dyDescent="0.2">
      <c r="A165" s="1"/>
      <c r="B165" s="2"/>
      <c r="C165" s="3"/>
      <c r="S165" s="131"/>
      <c r="T165" s="131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1"/>
      <c r="AN165" s="1"/>
      <c r="AO165" s="1"/>
      <c r="AP165" s="1"/>
      <c r="AQ165" s="1"/>
      <c r="AR165" s="1"/>
      <c r="AS165" s="1"/>
      <c r="AT165" s="1"/>
      <c r="AU165" s="24"/>
      <c r="AV165" s="24"/>
      <c r="AW165" s="24"/>
      <c r="AX165" s="236"/>
      <c r="AY165" s="236"/>
      <c r="AZ165" s="236"/>
      <c r="BA165" s="236"/>
    </row>
    <row r="166" spans="1:53" s="51" customFormat="1" x14ac:dyDescent="0.2">
      <c r="A166" s="1"/>
      <c r="B166" s="2"/>
      <c r="C166" s="3"/>
      <c r="S166" s="131"/>
      <c r="T166" s="131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1"/>
      <c r="AN166" s="1"/>
      <c r="AO166" s="1"/>
      <c r="AP166" s="1"/>
      <c r="AQ166" s="1"/>
      <c r="AR166" s="1"/>
      <c r="AS166" s="1"/>
      <c r="AT166" s="1"/>
      <c r="AU166" s="24"/>
      <c r="AV166" s="24"/>
      <c r="AW166" s="24"/>
      <c r="AX166" s="236"/>
      <c r="AY166" s="236"/>
      <c r="AZ166" s="236"/>
      <c r="BA166" s="236"/>
    </row>
    <row r="167" spans="1:53" s="51" customFormat="1" x14ac:dyDescent="0.2">
      <c r="A167" s="1"/>
      <c r="B167" s="2"/>
      <c r="C167" s="3"/>
      <c r="S167" s="131"/>
      <c r="T167" s="131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1"/>
      <c r="AN167" s="1"/>
      <c r="AO167" s="1"/>
      <c r="AP167" s="1"/>
      <c r="AQ167" s="1"/>
      <c r="AR167" s="1"/>
      <c r="AS167" s="1"/>
      <c r="AT167" s="1"/>
      <c r="AU167" s="24"/>
      <c r="AV167" s="24"/>
      <c r="AW167" s="24"/>
      <c r="AX167" s="236"/>
      <c r="AY167" s="236"/>
      <c r="AZ167" s="236"/>
      <c r="BA167" s="236"/>
    </row>
    <row r="168" spans="1:53" s="51" customFormat="1" x14ac:dyDescent="0.2">
      <c r="A168" s="1"/>
      <c r="B168" s="2"/>
      <c r="C168" s="3"/>
      <c r="S168" s="131"/>
      <c r="T168" s="131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1"/>
      <c r="AN168" s="1"/>
      <c r="AO168" s="1"/>
      <c r="AP168" s="1"/>
      <c r="AQ168" s="1"/>
      <c r="AR168" s="1"/>
      <c r="AS168" s="1"/>
      <c r="AT168" s="1"/>
      <c r="AU168" s="24"/>
      <c r="AV168" s="24"/>
      <c r="AW168" s="24"/>
      <c r="AX168" s="236"/>
      <c r="AY168" s="236"/>
      <c r="AZ168" s="236"/>
      <c r="BA168" s="236"/>
    </row>
    <row r="169" spans="1:53" s="51" customFormat="1" x14ac:dyDescent="0.2">
      <c r="A169" s="1"/>
      <c r="B169" s="2"/>
      <c r="C169" s="3"/>
      <c r="S169" s="131"/>
      <c r="T169" s="131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1"/>
      <c r="AN169" s="1"/>
      <c r="AO169" s="1"/>
      <c r="AP169" s="1"/>
      <c r="AQ169" s="1"/>
      <c r="AR169" s="1"/>
      <c r="AS169" s="1"/>
      <c r="AT169" s="1"/>
      <c r="AU169" s="24"/>
      <c r="AV169" s="24"/>
      <c r="AW169" s="24"/>
      <c r="AX169" s="236"/>
      <c r="AY169" s="236"/>
      <c r="AZ169" s="236"/>
      <c r="BA169" s="236"/>
    </row>
    <row r="170" spans="1:53" s="51" customFormat="1" x14ac:dyDescent="0.2">
      <c r="A170" s="1"/>
      <c r="B170" s="2"/>
      <c r="C170" s="3"/>
      <c r="S170" s="131"/>
      <c r="T170" s="131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1"/>
      <c r="AN170" s="1"/>
      <c r="AO170" s="1"/>
      <c r="AP170" s="1"/>
      <c r="AQ170" s="1"/>
      <c r="AR170" s="1"/>
      <c r="AS170" s="1"/>
      <c r="AT170" s="1"/>
      <c r="AU170" s="24"/>
      <c r="AV170" s="24"/>
      <c r="AW170" s="24"/>
      <c r="AX170" s="236"/>
      <c r="AY170" s="236"/>
      <c r="AZ170" s="236"/>
      <c r="BA170" s="236"/>
    </row>
    <row r="171" spans="1:53" s="51" customFormat="1" x14ac:dyDescent="0.2">
      <c r="A171" s="1"/>
      <c r="B171" s="2"/>
      <c r="C171" s="3"/>
      <c r="S171" s="131"/>
      <c r="T171" s="131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1"/>
      <c r="AN171" s="1"/>
      <c r="AO171" s="1"/>
      <c r="AP171" s="1"/>
      <c r="AQ171" s="1"/>
      <c r="AR171" s="1"/>
      <c r="AS171" s="1"/>
      <c r="AT171" s="1"/>
      <c r="AU171" s="24"/>
      <c r="AV171" s="24"/>
      <c r="AW171" s="24"/>
      <c r="AX171" s="236"/>
      <c r="AY171" s="236"/>
      <c r="AZ171" s="236"/>
      <c r="BA171" s="236"/>
    </row>
    <row r="172" spans="1:53" s="51" customFormat="1" x14ac:dyDescent="0.2">
      <c r="A172" s="1"/>
      <c r="B172" s="2"/>
      <c r="C172" s="3"/>
      <c r="S172" s="131"/>
      <c r="T172" s="131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1"/>
      <c r="AN172" s="1"/>
      <c r="AO172" s="1"/>
      <c r="AP172" s="1"/>
      <c r="AQ172" s="1"/>
      <c r="AR172" s="1"/>
      <c r="AS172" s="1"/>
      <c r="AT172" s="1"/>
      <c r="AU172" s="24"/>
      <c r="AV172" s="24"/>
      <c r="AW172" s="24"/>
      <c r="AX172" s="236"/>
      <c r="AY172" s="236"/>
      <c r="AZ172" s="236"/>
      <c r="BA172" s="236"/>
    </row>
    <row r="173" spans="1:53" s="51" customFormat="1" x14ac:dyDescent="0.2">
      <c r="A173" s="1"/>
      <c r="B173" s="2"/>
      <c r="C173" s="3"/>
      <c r="S173" s="131"/>
      <c r="T173" s="131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1"/>
      <c r="AN173" s="1"/>
      <c r="AO173" s="1"/>
      <c r="AP173" s="1"/>
      <c r="AQ173" s="1"/>
      <c r="AR173" s="1"/>
      <c r="AS173" s="1"/>
      <c r="AT173" s="1"/>
      <c r="AU173" s="24"/>
      <c r="AV173" s="24"/>
      <c r="AW173" s="24"/>
      <c r="AX173" s="236"/>
      <c r="AY173" s="236"/>
      <c r="AZ173" s="236"/>
      <c r="BA173" s="236"/>
    </row>
    <row r="174" spans="1:53" s="51" customFormat="1" x14ac:dyDescent="0.2">
      <c r="A174" s="1"/>
      <c r="B174" s="2"/>
      <c r="C174" s="3"/>
      <c r="S174" s="131"/>
      <c r="T174" s="131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1"/>
      <c r="AN174" s="1"/>
      <c r="AO174" s="1"/>
      <c r="AP174" s="1"/>
      <c r="AQ174" s="1"/>
      <c r="AR174" s="1"/>
      <c r="AS174" s="1"/>
      <c r="AT174" s="1"/>
      <c r="AU174" s="24"/>
      <c r="AV174" s="24"/>
      <c r="AW174" s="24"/>
      <c r="AX174" s="236"/>
      <c r="AY174" s="236"/>
      <c r="AZ174" s="236"/>
      <c r="BA174" s="236"/>
    </row>
    <row r="175" spans="1:53" s="51" customFormat="1" x14ac:dyDescent="0.2">
      <c r="A175" s="1"/>
      <c r="B175" s="2"/>
      <c r="C175" s="3"/>
      <c r="S175" s="131"/>
      <c r="T175" s="131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1"/>
      <c r="AN175" s="1"/>
      <c r="AO175" s="1"/>
      <c r="AP175" s="1"/>
      <c r="AQ175" s="1"/>
      <c r="AR175" s="1"/>
      <c r="AS175" s="1"/>
      <c r="AT175" s="1"/>
      <c r="AU175" s="24"/>
      <c r="AV175" s="24"/>
      <c r="AW175" s="24"/>
      <c r="AX175" s="236"/>
      <c r="AY175" s="236"/>
      <c r="AZ175" s="236"/>
      <c r="BA175" s="236"/>
    </row>
    <row r="176" spans="1:53" s="51" customFormat="1" x14ac:dyDescent="0.2">
      <c r="A176" s="1"/>
      <c r="B176" s="2"/>
      <c r="C176" s="3"/>
      <c r="S176" s="131"/>
      <c r="T176" s="131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1"/>
      <c r="AN176" s="1"/>
      <c r="AO176" s="1"/>
      <c r="AP176" s="1"/>
      <c r="AQ176" s="1"/>
      <c r="AR176" s="1"/>
      <c r="AS176" s="1"/>
      <c r="AT176" s="1"/>
      <c r="AU176" s="24"/>
      <c r="AV176" s="24"/>
      <c r="AW176" s="24"/>
      <c r="AX176" s="236"/>
      <c r="AY176" s="236"/>
      <c r="AZ176" s="236"/>
      <c r="BA176" s="236"/>
    </row>
    <row r="177" spans="1:53" s="51" customFormat="1" x14ac:dyDescent="0.2">
      <c r="A177" s="1"/>
      <c r="B177" s="2"/>
      <c r="C177" s="3"/>
      <c r="S177" s="131"/>
      <c r="T177" s="131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1"/>
      <c r="AN177" s="1"/>
      <c r="AO177" s="1"/>
      <c r="AP177" s="1"/>
      <c r="AQ177" s="1"/>
      <c r="AR177" s="1"/>
      <c r="AS177" s="1"/>
      <c r="AT177" s="1"/>
      <c r="AU177" s="24"/>
      <c r="AV177" s="24"/>
      <c r="AW177" s="24"/>
      <c r="AX177" s="236"/>
      <c r="AY177" s="236"/>
      <c r="AZ177" s="236"/>
      <c r="BA177" s="236"/>
    </row>
    <row r="178" spans="1:53" s="51" customFormat="1" x14ac:dyDescent="0.2">
      <c r="A178" s="1"/>
      <c r="B178" s="2"/>
      <c r="C178" s="3"/>
      <c r="S178" s="131"/>
      <c r="T178" s="131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1"/>
      <c r="AN178" s="1"/>
      <c r="AO178" s="1"/>
      <c r="AP178" s="1"/>
      <c r="AQ178" s="1"/>
      <c r="AR178" s="1"/>
      <c r="AS178" s="1"/>
      <c r="AT178" s="1"/>
      <c r="AU178" s="24"/>
      <c r="AV178" s="24"/>
      <c r="AW178" s="24"/>
      <c r="AX178" s="236"/>
      <c r="AY178" s="236"/>
      <c r="AZ178" s="236"/>
      <c r="BA178" s="236"/>
    </row>
    <row r="179" spans="1:53" s="51" customFormat="1" x14ac:dyDescent="0.2">
      <c r="A179" s="1"/>
      <c r="B179" s="2"/>
      <c r="C179" s="3"/>
      <c r="S179" s="131"/>
      <c r="T179" s="131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1"/>
      <c r="AN179" s="1"/>
      <c r="AO179" s="1"/>
      <c r="AP179" s="1"/>
      <c r="AQ179" s="1"/>
      <c r="AR179" s="1"/>
      <c r="AS179" s="1"/>
      <c r="AT179" s="1"/>
      <c r="AU179" s="24"/>
      <c r="AV179" s="24"/>
      <c r="AW179" s="24"/>
      <c r="AX179" s="236"/>
      <c r="AY179" s="236"/>
      <c r="AZ179" s="236"/>
      <c r="BA179" s="236"/>
    </row>
    <row r="180" spans="1:53" s="51" customFormat="1" x14ac:dyDescent="0.2">
      <c r="A180" s="1"/>
      <c r="B180" s="2"/>
      <c r="C180" s="3"/>
      <c r="S180" s="131"/>
      <c r="T180" s="131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1"/>
      <c r="AN180" s="1"/>
      <c r="AO180" s="1"/>
      <c r="AP180" s="1"/>
      <c r="AQ180" s="1"/>
      <c r="AR180" s="1"/>
      <c r="AS180" s="1"/>
      <c r="AT180" s="1"/>
      <c r="AU180" s="24"/>
      <c r="AV180" s="24"/>
      <c r="AW180" s="24"/>
      <c r="AX180" s="236"/>
      <c r="AY180" s="236"/>
      <c r="AZ180" s="236"/>
      <c r="BA180" s="236"/>
    </row>
    <row r="181" spans="1:53" s="51" customFormat="1" x14ac:dyDescent="0.2">
      <c r="A181" s="1"/>
      <c r="B181" s="2"/>
      <c r="C181" s="3"/>
      <c r="S181" s="131"/>
      <c r="T181" s="131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1"/>
      <c r="AN181" s="1"/>
      <c r="AO181" s="1"/>
      <c r="AP181" s="1"/>
      <c r="AQ181" s="1"/>
      <c r="AR181" s="1"/>
      <c r="AS181" s="1"/>
      <c r="AT181" s="1"/>
      <c r="AU181" s="24"/>
      <c r="AV181" s="24"/>
      <c r="AW181" s="24"/>
      <c r="AX181" s="236"/>
      <c r="AY181" s="236"/>
      <c r="AZ181" s="236"/>
      <c r="BA181" s="236"/>
    </row>
    <row r="182" spans="1:53" s="51" customFormat="1" x14ac:dyDescent="0.2">
      <c r="A182" s="1"/>
      <c r="B182" s="2"/>
      <c r="C182" s="3"/>
      <c r="S182" s="131"/>
      <c r="T182" s="131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1"/>
      <c r="AN182" s="1"/>
      <c r="AO182" s="1"/>
      <c r="AP182" s="1"/>
      <c r="AQ182" s="1"/>
      <c r="AR182" s="1"/>
      <c r="AS182" s="1"/>
      <c r="AT182" s="1"/>
      <c r="AU182" s="24"/>
      <c r="AV182" s="24"/>
      <c r="AW182" s="24"/>
      <c r="AX182" s="236"/>
      <c r="AY182" s="236"/>
      <c r="AZ182" s="236"/>
      <c r="BA182" s="236"/>
    </row>
    <row r="183" spans="1:53" s="51" customFormat="1" x14ac:dyDescent="0.2">
      <c r="A183" s="1"/>
      <c r="B183" s="2"/>
      <c r="C183" s="3"/>
      <c r="S183" s="131"/>
      <c r="T183" s="131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1"/>
      <c r="AN183" s="1"/>
      <c r="AO183" s="1"/>
      <c r="AP183" s="1"/>
      <c r="AQ183" s="1"/>
      <c r="AR183" s="1"/>
      <c r="AS183" s="1"/>
      <c r="AT183" s="1"/>
      <c r="AU183" s="24"/>
      <c r="AV183" s="24"/>
      <c r="AW183" s="24"/>
      <c r="AX183" s="236"/>
      <c r="AY183" s="236"/>
      <c r="AZ183" s="236"/>
      <c r="BA183" s="236"/>
    </row>
    <row r="184" spans="1:53" s="51" customFormat="1" x14ac:dyDescent="0.2">
      <c r="A184" s="1"/>
      <c r="B184" s="2"/>
      <c r="C184" s="3"/>
      <c r="S184" s="131"/>
      <c r="T184" s="131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1"/>
      <c r="AN184" s="1"/>
      <c r="AO184" s="1"/>
      <c r="AP184" s="1"/>
      <c r="AQ184" s="1"/>
      <c r="AR184" s="1"/>
      <c r="AS184" s="1"/>
      <c r="AT184" s="1"/>
      <c r="AU184" s="24"/>
      <c r="AV184" s="24"/>
      <c r="AW184" s="24"/>
      <c r="AX184" s="236"/>
      <c r="AY184" s="236"/>
      <c r="AZ184" s="236"/>
      <c r="BA184" s="236"/>
    </row>
    <row r="185" spans="1:53" s="51" customFormat="1" x14ac:dyDescent="0.2">
      <c r="A185" s="1"/>
      <c r="B185" s="2"/>
      <c r="C185" s="3"/>
      <c r="S185" s="131"/>
      <c r="T185" s="131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1"/>
      <c r="AN185" s="1"/>
      <c r="AO185" s="1"/>
      <c r="AP185" s="1"/>
      <c r="AQ185" s="1"/>
      <c r="AR185" s="1"/>
      <c r="AS185" s="1"/>
      <c r="AT185" s="1"/>
      <c r="AU185" s="24"/>
      <c r="AV185" s="24"/>
      <c r="AW185" s="24"/>
      <c r="AX185" s="236"/>
      <c r="AY185" s="236"/>
      <c r="AZ185" s="236"/>
      <c r="BA185" s="236"/>
    </row>
    <row r="186" spans="1:53" s="51" customFormat="1" x14ac:dyDescent="0.2">
      <c r="A186" s="1"/>
      <c r="B186" s="2"/>
      <c r="C186" s="3"/>
      <c r="S186" s="131"/>
      <c r="T186" s="131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1"/>
      <c r="AN186" s="1"/>
      <c r="AO186" s="1"/>
      <c r="AP186" s="1"/>
      <c r="AQ186" s="1"/>
      <c r="AR186" s="1"/>
      <c r="AS186" s="1"/>
      <c r="AT186" s="1"/>
      <c r="AU186" s="24"/>
      <c r="AV186" s="24"/>
      <c r="AW186" s="24"/>
      <c r="AX186" s="236"/>
      <c r="AY186" s="236"/>
      <c r="AZ186" s="236"/>
      <c r="BA186" s="236"/>
    </row>
    <row r="187" spans="1:53" s="51" customFormat="1" x14ac:dyDescent="0.2">
      <c r="A187" s="1"/>
      <c r="B187" s="2"/>
      <c r="C187" s="3"/>
      <c r="S187" s="131"/>
      <c r="T187" s="131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1"/>
      <c r="AN187" s="1"/>
      <c r="AO187" s="1"/>
      <c r="AP187" s="1"/>
      <c r="AQ187" s="1"/>
      <c r="AR187" s="1"/>
      <c r="AS187" s="1"/>
      <c r="AT187" s="1"/>
      <c r="AU187" s="24"/>
      <c r="AV187" s="24"/>
      <c r="AW187" s="24"/>
      <c r="AX187" s="236"/>
      <c r="AY187" s="236"/>
      <c r="AZ187" s="236"/>
      <c r="BA187" s="236"/>
    </row>
    <row r="188" spans="1:53" s="51" customFormat="1" x14ac:dyDescent="0.2">
      <c r="A188" s="1"/>
      <c r="B188" s="2"/>
      <c r="C188" s="3"/>
      <c r="S188" s="131"/>
      <c r="T188" s="131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1"/>
      <c r="AN188" s="1"/>
      <c r="AO188" s="1"/>
      <c r="AP188" s="1"/>
      <c r="AQ188" s="1"/>
      <c r="AR188" s="1"/>
      <c r="AS188" s="1"/>
      <c r="AT188" s="1"/>
      <c r="AU188" s="24"/>
      <c r="AV188" s="24"/>
      <c r="AW188" s="24"/>
      <c r="AX188" s="236"/>
      <c r="AY188" s="236"/>
      <c r="AZ188" s="236"/>
      <c r="BA188" s="236"/>
    </row>
    <row r="189" spans="1:53" s="51" customFormat="1" x14ac:dyDescent="0.2">
      <c r="A189" s="1"/>
      <c r="B189" s="2"/>
      <c r="C189" s="3"/>
      <c r="S189" s="131"/>
      <c r="T189" s="131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1"/>
      <c r="AN189" s="1"/>
      <c r="AO189" s="1"/>
      <c r="AP189" s="1"/>
      <c r="AQ189" s="1"/>
      <c r="AR189" s="1"/>
      <c r="AS189" s="1"/>
      <c r="AT189" s="1"/>
      <c r="AU189" s="24"/>
      <c r="AV189" s="24"/>
      <c r="AW189" s="24"/>
      <c r="AX189" s="236"/>
      <c r="AY189" s="236"/>
      <c r="AZ189" s="236"/>
      <c r="BA189" s="236"/>
    </row>
    <row r="190" spans="1:53" s="51" customFormat="1" x14ac:dyDescent="0.2">
      <c r="A190" s="1"/>
      <c r="B190" s="2"/>
      <c r="C190" s="3"/>
      <c r="S190" s="131"/>
      <c r="T190" s="131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1"/>
      <c r="AN190" s="1"/>
      <c r="AO190" s="1"/>
      <c r="AP190" s="1"/>
      <c r="AQ190" s="1"/>
      <c r="AR190" s="1"/>
      <c r="AS190" s="1"/>
      <c r="AT190" s="1"/>
      <c r="AU190" s="24"/>
      <c r="AV190" s="24"/>
      <c r="AW190" s="24"/>
      <c r="AX190" s="236"/>
      <c r="AY190" s="236"/>
      <c r="AZ190" s="236"/>
      <c r="BA190" s="236"/>
    </row>
    <row r="191" spans="1:53" s="51" customFormat="1" x14ac:dyDescent="0.2">
      <c r="A191" s="1"/>
      <c r="B191" s="2"/>
      <c r="C191" s="3"/>
      <c r="S191" s="131"/>
      <c r="T191" s="131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1"/>
      <c r="AN191" s="1"/>
      <c r="AO191" s="1"/>
      <c r="AP191" s="1"/>
      <c r="AQ191" s="1"/>
      <c r="AR191" s="1"/>
      <c r="AS191" s="1"/>
      <c r="AT191" s="1"/>
      <c r="AU191" s="24"/>
      <c r="AV191" s="24"/>
      <c r="AW191" s="24"/>
      <c r="AX191" s="236"/>
      <c r="AY191" s="236"/>
      <c r="AZ191" s="236"/>
      <c r="BA191" s="236"/>
    </row>
    <row r="192" spans="1:53" s="51" customFormat="1" x14ac:dyDescent="0.2">
      <c r="A192" s="1"/>
      <c r="B192" s="2"/>
      <c r="C192" s="3"/>
      <c r="S192" s="131"/>
      <c r="T192" s="131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1"/>
      <c r="AN192" s="1"/>
      <c r="AO192" s="1"/>
      <c r="AP192" s="1"/>
      <c r="AQ192" s="1"/>
      <c r="AR192" s="1"/>
      <c r="AS192" s="1"/>
      <c r="AT192" s="1"/>
      <c r="AU192" s="24"/>
      <c r="AV192" s="24"/>
      <c r="AW192" s="24"/>
      <c r="AX192" s="236"/>
      <c r="AY192" s="236"/>
      <c r="AZ192" s="236"/>
      <c r="BA192" s="236"/>
    </row>
    <row r="193" spans="1:53" s="51" customFormat="1" x14ac:dyDescent="0.2">
      <c r="A193" s="1"/>
      <c r="B193" s="2"/>
      <c r="C193" s="3"/>
      <c r="S193" s="131"/>
      <c r="T193" s="131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1"/>
      <c r="AN193" s="1"/>
      <c r="AO193" s="1"/>
      <c r="AP193" s="1"/>
      <c r="AQ193" s="1"/>
      <c r="AR193" s="1"/>
      <c r="AS193" s="1"/>
      <c r="AT193" s="1"/>
      <c r="AU193" s="24"/>
      <c r="AV193" s="24"/>
      <c r="AW193" s="24"/>
      <c r="AX193" s="236"/>
      <c r="AY193" s="236"/>
      <c r="AZ193" s="236"/>
      <c r="BA193" s="236"/>
    </row>
    <row r="194" spans="1:53" s="51" customFormat="1" x14ac:dyDescent="0.2">
      <c r="A194" s="1"/>
      <c r="B194" s="2"/>
      <c r="C194" s="3"/>
      <c r="S194" s="131"/>
      <c r="T194" s="131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1"/>
      <c r="AN194" s="1"/>
      <c r="AO194" s="1"/>
      <c r="AP194" s="1"/>
      <c r="AQ194" s="1"/>
      <c r="AR194" s="1"/>
      <c r="AS194" s="1"/>
      <c r="AT194" s="1"/>
      <c r="AU194" s="24"/>
      <c r="AV194" s="24"/>
      <c r="AW194" s="24"/>
      <c r="AX194" s="236"/>
      <c r="AY194" s="236"/>
      <c r="AZ194" s="236"/>
      <c r="BA194" s="236"/>
    </row>
    <row r="195" spans="1:53" s="51" customFormat="1" x14ac:dyDescent="0.2">
      <c r="A195" s="1"/>
      <c r="B195" s="2"/>
      <c r="C195" s="3"/>
      <c r="S195" s="131"/>
      <c r="T195" s="131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1"/>
      <c r="AN195" s="1"/>
      <c r="AO195" s="1"/>
      <c r="AP195" s="1"/>
      <c r="AQ195" s="1"/>
      <c r="AR195" s="1"/>
      <c r="AS195" s="1"/>
      <c r="AT195" s="1"/>
      <c r="AU195" s="24"/>
      <c r="AV195" s="24"/>
      <c r="AW195" s="24"/>
      <c r="AX195" s="236"/>
      <c r="AY195" s="236"/>
      <c r="AZ195" s="236"/>
      <c r="BA195" s="236"/>
    </row>
    <row r="196" spans="1:53" s="51" customFormat="1" x14ac:dyDescent="0.2">
      <c r="A196" s="1"/>
      <c r="B196" s="2"/>
      <c r="C196" s="3"/>
      <c r="S196" s="131"/>
      <c r="T196" s="131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1"/>
      <c r="AN196" s="1"/>
      <c r="AO196" s="1"/>
      <c r="AP196" s="1"/>
      <c r="AQ196" s="1"/>
      <c r="AR196" s="1"/>
      <c r="AS196" s="1"/>
      <c r="AT196" s="1"/>
      <c r="AU196" s="24"/>
      <c r="AV196" s="24"/>
      <c r="AW196" s="24"/>
      <c r="AX196" s="236"/>
      <c r="AY196" s="236"/>
      <c r="AZ196" s="236"/>
      <c r="BA196" s="236"/>
    </row>
    <row r="197" spans="1:53" s="51" customFormat="1" x14ac:dyDescent="0.2">
      <c r="A197" s="1"/>
      <c r="B197" s="2"/>
      <c r="C197" s="3"/>
      <c r="S197" s="131"/>
      <c r="T197" s="131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1"/>
      <c r="AN197" s="1"/>
      <c r="AO197" s="1"/>
      <c r="AP197" s="1"/>
      <c r="AQ197" s="1"/>
      <c r="AR197" s="1"/>
      <c r="AS197" s="1"/>
      <c r="AT197" s="1"/>
      <c r="AU197" s="24"/>
      <c r="AV197" s="24"/>
      <c r="AW197" s="24"/>
      <c r="AX197" s="236"/>
      <c r="AY197" s="236"/>
      <c r="AZ197" s="236"/>
      <c r="BA197" s="236"/>
    </row>
    <row r="198" spans="1:53" s="51" customFormat="1" x14ac:dyDescent="0.2">
      <c r="A198" s="1"/>
      <c r="B198" s="2"/>
      <c r="C198" s="3"/>
      <c r="S198" s="131"/>
      <c r="T198" s="131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1"/>
      <c r="AN198" s="1"/>
      <c r="AO198" s="1"/>
      <c r="AP198" s="1"/>
      <c r="AQ198" s="1"/>
      <c r="AR198" s="1"/>
      <c r="AS198" s="1"/>
      <c r="AT198" s="1"/>
      <c r="AU198" s="24"/>
      <c r="AV198" s="24"/>
      <c r="AW198" s="24"/>
      <c r="AX198" s="236"/>
      <c r="AY198" s="236"/>
      <c r="AZ198" s="236"/>
      <c r="BA198" s="236"/>
    </row>
    <row r="199" spans="1:53" s="51" customFormat="1" x14ac:dyDescent="0.2">
      <c r="A199" s="1"/>
      <c r="B199" s="2"/>
      <c r="C199" s="3"/>
      <c r="S199" s="131"/>
      <c r="T199" s="131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1"/>
      <c r="AN199" s="1"/>
      <c r="AO199" s="1"/>
      <c r="AP199" s="1"/>
      <c r="AQ199" s="1"/>
      <c r="AR199" s="1"/>
      <c r="AS199" s="1"/>
      <c r="AT199" s="1"/>
      <c r="AU199" s="24"/>
      <c r="AV199" s="24"/>
      <c r="AW199" s="24"/>
      <c r="AX199" s="236"/>
      <c r="AY199" s="236"/>
      <c r="AZ199" s="236"/>
      <c r="BA199" s="236"/>
    </row>
    <row r="200" spans="1:53" s="51" customFormat="1" x14ac:dyDescent="0.2">
      <c r="A200" s="1"/>
      <c r="B200" s="2"/>
      <c r="C200" s="3"/>
      <c r="S200" s="131"/>
      <c r="T200" s="131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1"/>
      <c r="AN200" s="1"/>
      <c r="AO200" s="1"/>
      <c r="AP200" s="1"/>
      <c r="AQ200" s="1"/>
      <c r="AR200" s="1"/>
      <c r="AS200" s="1"/>
      <c r="AT200" s="1"/>
      <c r="AU200" s="24"/>
      <c r="AV200" s="24"/>
      <c r="AW200" s="24"/>
      <c r="AX200" s="236"/>
      <c r="AY200" s="236"/>
      <c r="AZ200" s="236"/>
      <c r="BA200" s="236"/>
    </row>
    <row r="201" spans="1:53" s="51" customFormat="1" x14ac:dyDescent="0.2">
      <c r="A201" s="1"/>
      <c r="B201" s="2"/>
      <c r="C201" s="3"/>
      <c r="S201" s="131"/>
      <c r="T201" s="131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1"/>
      <c r="AN201" s="1"/>
      <c r="AO201" s="1"/>
      <c r="AP201" s="1"/>
      <c r="AQ201" s="1"/>
      <c r="AR201" s="1"/>
      <c r="AS201" s="1"/>
      <c r="AT201" s="1"/>
      <c r="AU201" s="24"/>
      <c r="AV201" s="24"/>
      <c r="AW201" s="24"/>
      <c r="AX201" s="236"/>
      <c r="AY201" s="236"/>
      <c r="AZ201" s="236"/>
      <c r="BA201" s="236"/>
    </row>
    <row r="202" spans="1:53" s="51" customFormat="1" x14ac:dyDescent="0.2">
      <c r="A202" s="1"/>
      <c r="B202" s="2"/>
      <c r="C202" s="3"/>
      <c r="S202" s="131"/>
      <c r="T202" s="131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1"/>
      <c r="AN202" s="1"/>
      <c r="AO202" s="1"/>
      <c r="AP202" s="1"/>
      <c r="AQ202" s="1"/>
      <c r="AR202" s="1"/>
      <c r="AS202" s="1"/>
      <c r="AT202" s="1"/>
      <c r="AU202" s="24"/>
      <c r="AV202" s="24"/>
      <c r="AW202" s="24"/>
      <c r="AX202" s="236"/>
      <c r="AY202" s="236"/>
      <c r="AZ202" s="236"/>
      <c r="BA202" s="236"/>
    </row>
    <row r="203" spans="1:53" s="51" customFormat="1" x14ac:dyDescent="0.2">
      <c r="A203" s="1"/>
      <c r="B203" s="2"/>
      <c r="C203" s="3"/>
      <c r="S203" s="131"/>
      <c r="T203" s="131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1"/>
      <c r="AN203" s="1"/>
      <c r="AO203" s="1"/>
      <c r="AP203" s="1"/>
      <c r="AQ203" s="1"/>
      <c r="AR203" s="1"/>
      <c r="AS203" s="1"/>
      <c r="AT203" s="1"/>
      <c r="AU203" s="24"/>
      <c r="AV203" s="24"/>
      <c r="AW203" s="24"/>
      <c r="AX203" s="236"/>
      <c r="AY203" s="236"/>
      <c r="AZ203" s="236"/>
      <c r="BA203" s="236"/>
    </row>
    <row r="204" spans="1:53" s="51" customFormat="1" x14ac:dyDescent="0.2">
      <c r="A204" s="1"/>
      <c r="B204" s="2"/>
      <c r="C204" s="3"/>
      <c r="S204" s="131"/>
      <c r="T204" s="131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1"/>
      <c r="AN204" s="1"/>
      <c r="AO204" s="1"/>
      <c r="AP204" s="1"/>
      <c r="AQ204" s="1"/>
      <c r="AR204" s="1"/>
      <c r="AS204" s="1"/>
      <c r="AT204" s="1"/>
      <c r="AU204" s="24"/>
      <c r="AV204" s="24"/>
      <c r="AW204" s="24"/>
      <c r="AX204" s="236"/>
      <c r="AY204" s="236"/>
      <c r="AZ204" s="236"/>
      <c r="BA204" s="236"/>
    </row>
    <row r="205" spans="1:53" s="51" customFormat="1" x14ac:dyDescent="0.2">
      <c r="A205" s="1"/>
      <c r="B205" s="2"/>
      <c r="C205" s="3"/>
      <c r="S205" s="131"/>
      <c r="T205" s="131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1"/>
      <c r="AN205" s="1"/>
      <c r="AO205" s="1"/>
      <c r="AP205" s="1"/>
      <c r="AQ205" s="1"/>
      <c r="AR205" s="1"/>
      <c r="AS205" s="1"/>
      <c r="AT205" s="1"/>
      <c r="AU205" s="24"/>
      <c r="AV205" s="24"/>
      <c r="AW205" s="24"/>
      <c r="AX205" s="236"/>
      <c r="AY205" s="236"/>
      <c r="AZ205" s="236"/>
      <c r="BA205" s="236"/>
    </row>
    <row r="206" spans="1:53" s="51" customFormat="1" x14ac:dyDescent="0.2">
      <c r="A206" s="1"/>
      <c r="B206" s="2"/>
      <c r="C206" s="3"/>
      <c r="S206" s="131"/>
      <c r="T206" s="131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1"/>
      <c r="AN206" s="1"/>
      <c r="AO206" s="1"/>
      <c r="AP206" s="1"/>
      <c r="AQ206" s="1"/>
      <c r="AR206" s="1"/>
      <c r="AS206" s="1"/>
      <c r="AT206" s="1"/>
      <c r="AU206" s="24"/>
      <c r="AV206" s="24"/>
      <c r="AW206" s="24"/>
      <c r="AX206" s="236"/>
      <c r="AY206" s="236"/>
      <c r="AZ206" s="236"/>
      <c r="BA206" s="236"/>
    </row>
    <row r="207" spans="1:53" s="51" customFormat="1" x14ac:dyDescent="0.2">
      <c r="A207" s="1"/>
      <c r="B207" s="2"/>
      <c r="C207" s="3"/>
      <c r="S207" s="131"/>
      <c r="T207" s="131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1"/>
      <c r="AN207" s="1"/>
      <c r="AO207" s="1"/>
      <c r="AP207" s="1"/>
      <c r="AQ207" s="1"/>
      <c r="AR207" s="1"/>
      <c r="AS207" s="1"/>
      <c r="AT207" s="1"/>
      <c r="AU207" s="24"/>
      <c r="AV207" s="24"/>
      <c r="AW207" s="24"/>
      <c r="AX207" s="236"/>
      <c r="AY207" s="236"/>
      <c r="AZ207" s="236"/>
      <c r="BA207" s="236"/>
    </row>
    <row r="208" spans="1:53" s="51" customFormat="1" x14ac:dyDescent="0.2">
      <c r="A208" s="1"/>
      <c r="B208" s="2"/>
      <c r="C208" s="3"/>
      <c r="S208" s="131"/>
      <c r="T208" s="131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1"/>
      <c r="AN208" s="1"/>
      <c r="AO208" s="1"/>
      <c r="AP208" s="1"/>
      <c r="AQ208" s="1"/>
      <c r="AR208" s="1"/>
      <c r="AS208" s="1"/>
      <c r="AT208" s="1"/>
      <c r="AU208" s="24"/>
      <c r="AV208" s="24"/>
      <c r="AW208" s="24"/>
      <c r="AX208" s="236"/>
      <c r="AY208" s="236"/>
      <c r="AZ208" s="236"/>
      <c r="BA208" s="236"/>
    </row>
    <row r="209" spans="1:53" s="51" customFormat="1" x14ac:dyDescent="0.2">
      <c r="A209" s="1"/>
      <c r="B209" s="2"/>
      <c r="C209" s="3"/>
      <c r="S209" s="131"/>
      <c r="T209" s="131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1"/>
      <c r="AN209" s="1"/>
      <c r="AO209" s="1"/>
      <c r="AP209" s="1"/>
      <c r="AQ209" s="1"/>
      <c r="AR209" s="1"/>
      <c r="AS209" s="1"/>
      <c r="AT209" s="1"/>
      <c r="AU209" s="24"/>
      <c r="AV209" s="24"/>
      <c r="AW209" s="24"/>
      <c r="AX209" s="236"/>
      <c r="AY209" s="236"/>
      <c r="AZ209" s="236"/>
      <c r="BA209" s="236"/>
    </row>
    <row r="210" spans="1:53" s="51" customFormat="1" x14ac:dyDescent="0.2">
      <c r="A210" s="1"/>
      <c r="B210" s="2"/>
      <c r="C210" s="3"/>
      <c r="S210" s="131"/>
      <c r="T210" s="131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1"/>
      <c r="AN210" s="1"/>
      <c r="AO210" s="1"/>
      <c r="AP210" s="1"/>
      <c r="AQ210" s="1"/>
      <c r="AR210" s="1"/>
      <c r="AS210" s="1"/>
      <c r="AT210" s="1"/>
      <c r="AU210" s="24"/>
      <c r="AV210" s="24"/>
      <c r="AW210" s="24"/>
      <c r="AX210" s="236"/>
      <c r="AY210" s="236"/>
      <c r="AZ210" s="236"/>
      <c r="BA210" s="236"/>
    </row>
    <row r="211" spans="1:53" s="51" customFormat="1" x14ac:dyDescent="0.2">
      <c r="A211" s="1"/>
      <c r="B211" s="2"/>
      <c r="C211" s="3"/>
      <c r="S211" s="131"/>
      <c r="T211" s="131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1"/>
      <c r="AN211" s="1"/>
      <c r="AO211" s="1"/>
      <c r="AP211" s="1"/>
      <c r="AQ211" s="1"/>
      <c r="AR211" s="1"/>
      <c r="AS211" s="1"/>
      <c r="AT211" s="1"/>
      <c r="AU211" s="24"/>
      <c r="AV211" s="24"/>
      <c r="AW211" s="24"/>
      <c r="AX211" s="236"/>
      <c r="AY211" s="236"/>
      <c r="AZ211" s="236"/>
      <c r="BA211" s="236"/>
    </row>
    <row r="212" spans="1:53" s="51" customFormat="1" x14ac:dyDescent="0.2">
      <c r="A212" s="1"/>
      <c r="B212" s="2"/>
      <c r="C212" s="3"/>
      <c r="S212" s="131"/>
      <c r="T212" s="131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1"/>
      <c r="AN212" s="1"/>
      <c r="AO212" s="1"/>
      <c r="AP212" s="1"/>
      <c r="AQ212" s="1"/>
      <c r="AR212" s="1"/>
      <c r="AS212" s="1"/>
      <c r="AT212" s="1"/>
      <c r="AU212" s="24"/>
      <c r="AV212" s="24"/>
      <c r="AW212" s="24"/>
      <c r="AX212" s="236"/>
      <c r="AY212" s="236"/>
      <c r="AZ212" s="236"/>
      <c r="BA212" s="236"/>
    </row>
    <row r="213" spans="1:53" s="51" customFormat="1" x14ac:dyDescent="0.2">
      <c r="A213" s="1"/>
      <c r="B213" s="2"/>
      <c r="C213" s="3"/>
      <c r="S213" s="131"/>
      <c r="T213" s="131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1"/>
      <c r="AN213" s="1"/>
      <c r="AO213" s="1"/>
      <c r="AP213" s="1"/>
      <c r="AQ213" s="1"/>
      <c r="AR213" s="1"/>
      <c r="AS213" s="1"/>
      <c r="AT213" s="1"/>
      <c r="AU213" s="24"/>
      <c r="AV213" s="24"/>
      <c r="AW213" s="24"/>
      <c r="AX213" s="236"/>
      <c r="AY213" s="236"/>
      <c r="AZ213" s="236"/>
      <c r="BA213" s="236"/>
    </row>
    <row r="214" spans="1:53" s="51" customFormat="1" x14ac:dyDescent="0.2">
      <c r="A214" s="1"/>
      <c r="B214" s="2"/>
      <c r="C214" s="3"/>
      <c r="S214" s="131"/>
      <c r="T214" s="131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1"/>
      <c r="AN214" s="1"/>
      <c r="AO214" s="1"/>
      <c r="AP214" s="1"/>
      <c r="AQ214" s="1"/>
      <c r="AR214" s="1"/>
      <c r="AS214" s="1"/>
      <c r="AT214" s="1"/>
      <c r="AU214" s="24"/>
      <c r="AV214" s="24"/>
      <c r="AW214" s="24"/>
      <c r="AX214" s="236"/>
      <c r="AY214" s="236"/>
      <c r="AZ214" s="236"/>
      <c r="BA214" s="236"/>
    </row>
    <row r="215" spans="1:53" s="51" customFormat="1" x14ac:dyDescent="0.2">
      <c r="A215" s="1"/>
      <c r="B215" s="2"/>
      <c r="C215" s="3"/>
      <c r="S215" s="131"/>
      <c r="T215" s="131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1"/>
      <c r="AN215" s="1"/>
      <c r="AO215" s="1"/>
      <c r="AP215" s="1"/>
      <c r="AQ215" s="1"/>
      <c r="AR215" s="1"/>
      <c r="AS215" s="1"/>
      <c r="AT215" s="1"/>
      <c r="AU215" s="24"/>
      <c r="AV215" s="24"/>
      <c r="AW215" s="24"/>
      <c r="AX215" s="236"/>
      <c r="AY215" s="236"/>
      <c r="AZ215" s="236"/>
      <c r="BA215" s="236"/>
    </row>
    <row r="216" spans="1:53" s="51" customFormat="1" x14ac:dyDescent="0.2">
      <c r="A216" s="1"/>
      <c r="B216" s="2"/>
      <c r="C216" s="3"/>
      <c r="S216" s="131"/>
      <c r="T216" s="131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1"/>
      <c r="AN216" s="1"/>
      <c r="AO216" s="1"/>
      <c r="AP216" s="1"/>
      <c r="AQ216" s="1"/>
      <c r="AR216" s="1"/>
      <c r="AS216" s="1"/>
      <c r="AT216" s="1"/>
      <c r="AU216" s="24"/>
      <c r="AV216" s="24"/>
      <c r="AW216" s="24"/>
      <c r="AX216" s="236"/>
      <c r="AY216" s="236"/>
      <c r="AZ216" s="236"/>
      <c r="BA216" s="236"/>
    </row>
    <row r="217" spans="1:53" s="51" customFormat="1" x14ac:dyDescent="0.2">
      <c r="A217" s="1"/>
      <c r="B217" s="2"/>
      <c r="C217" s="3"/>
      <c r="S217" s="131"/>
      <c r="T217" s="131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1"/>
      <c r="AN217" s="1"/>
      <c r="AO217" s="1"/>
      <c r="AP217" s="1"/>
      <c r="AQ217" s="1"/>
      <c r="AR217" s="1"/>
      <c r="AS217" s="1"/>
      <c r="AT217" s="1"/>
      <c r="AU217" s="24"/>
      <c r="AV217" s="24"/>
      <c r="AW217" s="24"/>
      <c r="AX217" s="236"/>
      <c r="AY217" s="236"/>
      <c r="AZ217" s="236"/>
      <c r="BA217" s="236"/>
    </row>
    <row r="218" spans="1:53" s="51" customFormat="1" x14ac:dyDescent="0.2">
      <c r="A218" s="1"/>
      <c r="B218" s="2"/>
      <c r="C218" s="3"/>
      <c r="S218" s="131"/>
      <c r="T218" s="131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1"/>
      <c r="AN218" s="1"/>
      <c r="AO218" s="1"/>
      <c r="AP218" s="1"/>
      <c r="AQ218" s="1"/>
      <c r="AR218" s="1"/>
      <c r="AS218" s="1"/>
      <c r="AT218" s="1"/>
      <c r="AU218" s="24"/>
      <c r="AV218" s="24"/>
      <c r="AW218" s="24"/>
      <c r="AX218" s="236"/>
      <c r="AY218" s="236"/>
      <c r="AZ218" s="236"/>
      <c r="BA218" s="236"/>
    </row>
    <row r="219" spans="1:53" s="51" customFormat="1" x14ac:dyDescent="0.2">
      <c r="A219" s="1"/>
      <c r="B219" s="2"/>
      <c r="C219" s="3"/>
      <c r="S219" s="131"/>
      <c r="T219" s="131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1"/>
      <c r="AN219" s="1"/>
      <c r="AO219" s="1"/>
      <c r="AP219" s="1"/>
      <c r="AQ219" s="1"/>
      <c r="AR219" s="1"/>
      <c r="AS219" s="1"/>
      <c r="AT219" s="1"/>
      <c r="AU219" s="24"/>
      <c r="AV219" s="24"/>
      <c r="AW219" s="24"/>
      <c r="AX219" s="236"/>
      <c r="AY219" s="236"/>
      <c r="AZ219" s="236"/>
      <c r="BA219" s="236"/>
    </row>
    <row r="220" spans="1:53" s="51" customFormat="1" x14ac:dyDescent="0.2">
      <c r="A220" s="1"/>
      <c r="B220" s="2"/>
      <c r="C220" s="3"/>
      <c r="S220" s="131"/>
      <c r="T220" s="131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1"/>
      <c r="AN220" s="1"/>
      <c r="AO220" s="1"/>
      <c r="AP220" s="1"/>
      <c r="AQ220" s="1"/>
      <c r="AR220" s="1"/>
      <c r="AS220" s="1"/>
      <c r="AT220" s="1"/>
      <c r="AU220" s="24"/>
      <c r="AV220" s="24"/>
      <c r="AW220" s="24"/>
      <c r="AX220" s="236"/>
      <c r="AY220" s="236"/>
      <c r="AZ220" s="236"/>
      <c r="BA220" s="236"/>
    </row>
    <row r="221" spans="1:53" s="51" customFormat="1" x14ac:dyDescent="0.2">
      <c r="A221" s="1"/>
      <c r="B221" s="2"/>
      <c r="C221" s="3"/>
      <c r="S221" s="131"/>
      <c r="T221" s="131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1"/>
      <c r="AN221" s="1"/>
      <c r="AO221" s="1"/>
      <c r="AP221" s="1"/>
      <c r="AQ221" s="1"/>
      <c r="AR221" s="1"/>
      <c r="AS221" s="1"/>
      <c r="AT221" s="1"/>
      <c r="AU221" s="24"/>
      <c r="AV221" s="24"/>
      <c r="AW221" s="24"/>
      <c r="AX221" s="236"/>
      <c r="AY221" s="236"/>
      <c r="AZ221" s="236"/>
      <c r="BA221" s="236"/>
    </row>
    <row r="222" spans="1:53" s="51" customFormat="1" x14ac:dyDescent="0.2">
      <c r="A222" s="1"/>
      <c r="B222" s="2"/>
      <c r="C222" s="3"/>
      <c r="S222" s="131"/>
      <c r="T222" s="131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1"/>
      <c r="AN222" s="1"/>
      <c r="AO222" s="1"/>
      <c r="AP222" s="1"/>
      <c r="AQ222" s="1"/>
      <c r="AR222" s="1"/>
      <c r="AS222" s="1"/>
      <c r="AT222" s="1"/>
      <c r="AU222" s="24"/>
      <c r="AV222" s="24"/>
      <c r="AW222" s="24"/>
      <c r="AX222" s="236"/>
      <c r="AY222" s="236"/>
      <c r="AZ222" s="236"/>
      <c r="BA222" s="236"/>
    </row>
    <row r="223" spans="1:53" s="51" customFormat="1" x14ac:dyDescent="0.2">
      <c r="A223" s="1"/>
      <c r="B223" s="2"/>
      <c r="C223" s="3"/>
      <c r="S223" s="131"/>
      <c r="T223" s="131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1"/>
      <c r="AN223" s="1"/>
      <c r="AO223" s="1"/>
      <c r="AP223" s="1"/>
      <c r="AQ223" s="1"/>
      <c r="AR223" s="1"/>
      <c r="AS223" s="1"/>
      <c r="AT223" s="1"/>
      <c r="AU223" s="24"/>
      <c r="AV223" s="24"/>
      <c r="AW223" s="24"/>
      <c r="AX223" s="236"/>
      <c r="AY223" s="236"/>
      <c r="AZ223" s="236"/>
      <c r="BA223" s="236"/>
    </row>
    <row r="224" spans="1:53" s="51" customFormat="1" x14ac:dyDescent="0.2">
      <c r="A224" s="1"/>
      <c r="B224" s="2"/>
      <c r="C224" s="3"/>
      <c r="S224" s="131"/>
      <c r="T224" s="131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1"/>
      <c r="AN224" s="1"/>
      <c r="AO224" s="1"/>
      <c r="AP224" s="1"/>
      <c r="AQ224" s="1"/>
      <c r="AR224" s="1"/>
      <c r="AS224" s="1"/>
      <c r="AT224" s="1"/>
      <c r="AU224" s="24"/>
      <c r="AV224" s="24"/>
      <c r="AW224" s="24"/>
      <c r="AX224" s="236"/>
      <c r="AY224" s="236"/>
      <c r="AZ224" s="236"/>
      <c r="BA224" s="236"/>
    </row>
    <row r="225" spans="1:53" s="51" customFormat="1" x14ac:dyDescent="0.2">
      <c r="A225" s="1"/>
      <c r="B225" s="2"/>
      <c r="C225" s="3"/>
      <c r="S225" s="131"/>
      <c r="T225" s="131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1"/>
      <c r="AN225" s="1"/>
      <c r="AO225" s="1"/>
      <c r="AP225" s="1"/>
      <c r="AQ225" s="1"/>
      <c r="AR225" s="1"/>
      <c r="AS225" s="1"/>
      <c r="AT225" s="1"/>
      <c r="AU225" s="24"/>
      <c r="AV225" s="24"/>
      <c r="AW225" s="24"/>
      <c r="AX225" s="236"/>
      <c r="AY225" s="236"/>
      <c r="AZ225" s="236"/>
      <c r="BA225" s="236"/>
    </row>
    <row r="226" spans="1:53" s="51" customFormat="1" x14ac:dyDescent="0.2">
      <c r="A226" s="1"/>
      <c r="B226" s="2"/>
      <c r="C226" s="3"/>
      <c r="S226" s="131"/>
      <c r="T226" s="131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1"/>
      <c r="AN226" s="1"/>
      <c r="AO226" s="1"/>
      <c r="AP226" s="1"/>
      <c r="AQ226" s="1"/>
      <c r="AR226" s="1"/>
      <c r="AS226" s="1"/>
      <c r="AT226" s="1"/>
      <c r="AU226" s="24"/>
      <c r="AV226" s="24"/>
      <c r="AW226" s="24"/>
      <c r="AX226" s="236"/>
      <c r="AY226" s="236"/>
      <c r="AZ226" s="236"/>
      <c r="BA226" s="236"/>
    </row>
    <row r="227" spans="1:53" s="51" customFormat="1" x14ac:dyDescent="0.2">
      <c r="A227" s="1"/>
      <c r="B227" s="2"/>
      <c r="C227" s="3"/>
      <c r="S227" s="131"/>
      <c r="T227" s="131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1"/>
      <c r="AN227" s="1"/>
      <c r="AO227" s="1"/>
      <c r="AP227" s="1"/>
      <c r="AQ227" s="1"/>
      <c r="AR227" s="1"/>
      <c r="AS227" s="1"/>
      <c r="AT227" s="1"/>
      <c r="AU227" s="24"/>
      <c r="AV227" s="24"/>
      <c r="AW227" s="24"/>
      <c r="AX227" s="236"/>
      <c r="AY227" s="236"/>
      <c r="AZ227" s="236"/>
      <c r="BA227" s="236"/>
    </row>
    <row r="228" spans="1:53" s="51" customFormat="1" x14ac:dyDescent="0.2">
      <c r="A228" s="1"/>
      <c r="B228" s="2"/>
      <c r="C228" s="3"/>
      <c r="S228" s="131"/>
      <c r="T228" s="131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1"/>
      <c r="AN228" s="1"/>
      <c r="AO228" s="1"/>
      <c r="AP228" s="1"/>
      <c r="AQ228" s="1"/>
      <c r="AR228" s="1"/>
      <c r="AS228" s="1"/>
      <c r="AT228" s="1"/>
      <c r="AU228" s="24"/>
      <c r="AV228" s="24"/>
      <c r="AW228" s="24"/>
      <c r="AX228" s="236"/>
      <c r="AY228" s="236"/>
      <c r="AZ228" s="236"/>
      <c r="BA228" s="236"/>
    </row>
    <row r="229" spans="1:53" s="51" customFormat="1" x14ac:dyDescent="0.2">
      <c r="A229" s="1"/>
      <c r="B229" s="2"/>
      <c r="C229" s="3"/>
      <c r="S229" s="131"/>
      <c r="T229" s="131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1"/>
      <c r="AN229" s="1"/>
      <c r="AO229" s="1"/>
      <c r="AP229" s="1"/>
      <c r="AQ229" s="1"/>
      <c r="AR229" s="1"/>
      <c r="AS229" s="1"/>
      <c r="AT229" s="1"/>
      <c r="AU229" s="24"/>
      <c r="AV229" s="24"/>
      <c r="AW229" s="24"/>
      <c r="AX229" s="236"/>
      <c r="AY229" s="236"/>
      <c r="AZ229" s="236"/>
      <c r="BA229" s="236"/>
    </row>
    <row r="230" spans="1:53" s="51" customFormat="1" x14ac:dyDescent="0.2">
      <c r="A230" s="1"/>
      <c r="B230" s="2"/>
      <c r="C230" s="3"/>
      <c r="S230" s="131"/>
      <c r="T230" s="131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1"/>
      <c r="AN230" s="1"/>
      <c r="AO230" s="1"/>
      <c r="AP230" s="1"/>
      <c r="AQ230" s="1"/>
      <c r="AR230" s="1"/>
      <c r="AS230" s="1"/>
      <c r="AT230" s="1"/>
      <c r="AU230" s="24"/>
      <c r="AV230" s="24"/>
      <c r="AW230" s="24"/>
      <c r="AX230" s="236"/>
      <c r="AY230" s="236"/>
      <c r="AZ230" s="236"/>
      <c r="BA230" s="236"/>
    </row>
    <row r="231" spans="1:53" s="51" customFormat="1" x14ac:dyDescent="0.2">
      <c r="A231" s="1"/>
      <c r="B231" s="2"/>
      <c r="C231" s="3"/>
      <c r="S231" s="131"/>
      <c r="T231" s="131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1"/>
      <c r="AN231" s="1"/>
      <c r="AO231" s="1"/>
      <c r="AP231" s="1"/>
      <c r="AQ231" s="1"/>
      <c r="AR231" s="1"/>
      <c r="AS231" s="1"/>
      <c r="AT231" s="1"/>
      <c r="AU231" s="24"/>
      <c r="AV231" s="24"/>
      <c r="AW231" s="24"/>
      <c r="AX231" s="236"/>
      <c r="AY231" s="236"/>
      <c r="AZ231" s="236"/>
      <c r="BA231" s="236"/>
    </row>
    <row r="232" spans="1:53" s="51" customFormat="1" x14ac:dyDescent="0.2">
      <c r="A232" s="1"/>
      <c r="B232" s="2"/>
      <c r="C232" s="3"/>
      <c r="S232" s="131"/>
      <c r="T232" s="131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1"/>
      <c r="AN232" s="1"/>
      <c r="AO232" s="1"/>
      <c r="AP232" s="1"/>
      <c r="AQ232" s="1"/>
      <c r="AR232" s="1"/>
      <c r="AS232" s="1"/>
      <c r="AT232" s="1"/>
      <c r="AU232" s="24"/>
      <c r="AV232" s="24"/>
      <c r="AW232" s="24"/>
      <c r="AX232" s="236"/>
      <c r="AY232" s="236"/>
      <c r="AZ232" s="236"/>
      <c r="BA232" s="236"/>
    </row>
    <row r="233" spans="1:53" s="51" customFormat="1" x14ac:dyDescent="0.2">
      <c r="A233" s="1"/>
      <c r="B233" s="2"/>
      <c r="C233" s="3"/>
      <c r="S233" s="131"/>
      <c r="T233" s="131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1"/>
      <c r="AN233" s="1"/>
      <c r="AO233" s="1"/>
      <c r="AP233" s="1"/>
      <c r="AQ233" s="1"/>
      <c r="AR233" s="1"/>
      <c r="AS233" s="1"/>
      <c r="AT233" s="1"/>
      <c r="AU233" s="24"/>
      <c r="AV233" s="24"/>
      <c r="AW233" s="24"/>
      <c r="AX233" s="236"/>
      <c r="AY233" s="236"/>
      <c r="AZ233" s="236"/>
      <c r="BA233" s="236"/>
    </row>
    <row r="234" spans="1:53" s="51" customFormat="1" x14ac:dyDescent="0.2">
      <c r="A234" s="1"/>
      <c r="B234" s="2"/>
      <c r="C234" s="3"/>
      <c r="S234" s="131"/>
      <c r="T234" s="131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1"/>
      <c r="AN234" s="1"/>
      <c r="AO234" s="1"/>
      <c r="AP234" s="1"/>
      <c r="AQ234" s="1"/>
      <c r="AR234" s="1"/>
      <c r="AS234" s="1"/>
      <c r="AT234" s="1"/>
      <c r="AU234" s="24"/>
      <c r="AV234" s="24"/>
      <c r="AW234" s="24"/>
      <c r="AX234" s="236"/>
      <c r="AY234" s="236"/>
      <c r="AZ234" s="236"/>
      <c r="BA234" s="236"/>
    </row>
    <row r="235" spans="1:53" s="51" customFormat="1" x14ac:dyDescent="0.2">
      <c r="A235" s="1"/>
      <c r="B235" s="2"/>
      <c r="C235" s="3"/>
      <c r="S235" s="131"/>
      <c r="T235" s="131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1"/>
      <c r="AN235" s="1"/>
      <c r="AO235" s="1"/>
      <c r="AP235" s="1"/>
      <c r="AQ235" s="1"/>
      <c r="AR235" s="1"/>
      <c r="AS235" s="1"/>
      <c r="AT235" s="1"/>
      <c r="AU235" s="24"/>
      <c r="AV235" s="24"/>
      <c r="AW235" s="24"/>
      <c r="AX235" s="236"/>
      <c r="AY235" s="236"/>
      <c r="AZ235" s="236"/>
      <c r="BA235" s="236"/>
    </row>
    <row r="236" spans="1:53" s="51" customFormat="1" x14ac:dyDescent="0.2">
      <c r="A236" s="1"/>
      <c r="B236" s="2"/>
      <c r="C236" s="3"/>
      <c r="S236" s="131"/>
      <c r="T236" s="131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1"/>
      <c r="AN236" s="1"/>
      <c r="AO236" s="1"/>
      <c r="AP236" s="1"/>
      <c r="AQ236" s="1"/>
      <c r="AR236" s="1"/>
      <c r="AS236" s="1"/>
      <c r="AT236" s="1"/>
      <c r="AU236" s="24"/>
      <c r="AV236" s="24"/>
      <c r="AW236" s="24"/>
      <c r="AX236" s="236"/>
      <c r="AY236" s="236"/>
      <c r="AZ236" s="236"/>
      <c r="BA236" s="236"/>
    </row>
    <row r="237" spans="1:53" s="51" customFormat="1" x14ac:dyDescent="0.2">
      <c r="A237" s="1"/>
      <c r="B237" s="2"/>
      <c r="C237" s="3"/>
      <c r="S237" s="131"/>
      <c r="T237" s="131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1"/>
      <c r="AN237" s="1"/>
      <c r="AO237" s="1"/>
      <c r="AP237" s="1"/>
      <c r="AQ237" s="1"/>
      <c r="AR237" s="1"/>
      <c r="AS237" s="1"/>
      <c r="AT237" s="1"/>
      <c r="AU237" s="24"/>
      <c r="AV237" s="24"/>
      <c r="AW237" s="24"/>
      <c r="AX237" s="236"/>
      <c r="AY237" s="236"/>
      <c r="AZ237" s="236"/>
      <c r="BA237" s="236"/>
    </row>
    <row r="238" spans="1:53" s="51" customFormat="1" x14ac:dyDescent="0.2">
      <c r="A238" s="1"/>
      <c r="B238" s="2"/>
      <c r="C238" s="3"/>
      <c r="S238" s="131"/>
      <c r="T238" s="131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1"/>
      <c r="AN238" s="1"/>
      <c r="AO238" s="1"/>
      <c r="AP238" s="1"/>
      <c r="AQ238" s="1"/>
      <c r="AR238" s="1"/>
      <c r="AS238" s="1"/>
      <c r="AT238" s="1"/>
      <c r="AU238" s="24"/>
      <c r="AV238" s="24"/>
      <c r="AW238" s="24"/>
      <c r="AX238" s="236"/>
      <c r="AY238" s="236"/>
      <c r="AZ238" s="236"/>
      <c r="BA238" s="236"/>
    </row>
    <row r="239" spans="1:53" s="51" customFormat="1" x14ac:dyDescent="0.2">
      <c r="A239" s="1"/>
      <c r="B239" s="2"/>
      <c r="C239" s="3"/>
      <c r="S239" s="131"/>
      <c r="T239" s="131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1"/>
      <c r="AN239" s="1"/>
      <c r="AO239" s="1"/>
      <c r="AP239" s="1"/>
      <c r="AQ239" s="1"/>
      <c r="AR239" s="1"/>
      <c r="AS239" s="1"/>
      <c r="AT239" s="1"/>
      <c r="AU239" s="24"/>
      <c r="AV239" s="24"/>
      <c r="AW239" s="24"/>
      <c r="AX239" s="236"/>
      <c r="AY239" s="236"/>
      <c r="AZ239" s="236"/>
      <c r="BA239" s="236"/>
    </row>
    <row r="240" spans="1:53" s="51" customFormat="1" x14ac:dyDescent="0.2">
      <c r="A240" s="1"/>
      <c r="B240" s="2"/>
      <c r="C240" s="3"/>
      <c r="S240" s="131"/>
      <c r="T240" s="131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1"/>
      <c r="AN240" s="1"/>
      <c r="AO240" s="1"/>
      <c r="AP240" s="1"/>
      <c r="AQ240" s="1"/>
      <c r="AR240" s="1"/>
      <c r="AS240" s="1"/>
      <c r="AT240" s="1"/>
      <c r="AU240" s="24"/>
      <c r="AV240" s="24"/>
      <c r="AW240" s="24"/>
      <c r="AX240" s="236"/>
      <c r="AY240" s="236"/>
      <c r="AZ240" s="236"/>
      <c r="BA240" s="236"/>
    </row>
    <row r="241" spans="1:53" s="51" customFormat="1" x14ac:dyDescent="0.2">
      <c r="A241" s="1"/>
      <c r="B241" s="2"/>
      <c r="C241" s="3"/>
      <c r="S241" s="131"/>
      <c r="T241" s="131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1"/>
      <c r="AN241" s="1"/>
      <c r="AO241" s="1"/>
      <c r="AP241" s="1"/>
      <c r="AQ241" s="1"/>
      <c r="AR241" s="1"/>
      <c r="AS241" s="1"/>
      <c r="AT241" s="1"/>
      <c r="AU241" s="24"/>
      <c r="AV241" s="24"/>
      <c r="AW241" s="24"/>
      <c r="AX241" s="236"/>
      <c r="AY241" s="236"/>
      <c r="AZ241" s="236"/>
      <c r="BA241" s="236"/>
    </row>
    <row r="242" spans="1:53" s="51" customFormat="1" x14ac:dyDescent="0.2">
      <c r="A242" s="1"/>
      <c r="B242" s="2"/>
      <c r="C242" s="3"/>
      <c r="S242" s="131"/>
      <c r="T242" s="131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1"/>
      <c r="AN242" s="1"/>
      <c r="AO242" s="1"/>
      <c r="AP242" s="1"/>
      <c r="AQ242" s="1"/>
      <c r="AR242" s="1"/>
      <c r="AS242" s="1"/>
      <c r="AT242" s="1"/>
      <c r="AU242" s="24"/>
      <c r="AV242" s="24"/>
      <c r="AW242" s="24"/>
      <c r="AX242" s="236"/>
      <c r="AY242" s="236"/>
      <c r="AZ242" s="236"/>
      <c r="BA242" s="236"/>
    </row>
    <row r="243" spans="1:53" s="51" customFormat="1" x14ac:dyDescent="0.2">
      <c r="A243" s="1"/>
      <c r="B243" s="2"/>
      <c r="C243" s="3"/>
      <c r="S243" s="131"/>
      <c r="T243" s="131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1"/>
      <c r="AN243" s="1"/>
      <c r="AO243" s="1"/>
      <c r="AP243" s="1"/>
      <c r="AQ243" s="1"/>
      <c r="AR243" s="1"/>
      <c r="AS243" s="1"/>
      <c r="AT243" s="1"/>
      <c r="AU243" s="24"/>
      <c r="AV243" s="24"/>
      <c r="AW243" s="24"/>
      <c r="AX243" s="236"/>
      <c r="AY243" s="236"/>
      <c r="AZ243" s="236"/>
      <c r="BA243" s="236"/>
    </row>
    <row r="244" spans="1:53" s="51" customFormat="1" x14ac:dyDescent="0.2">
      <c r="A244" s="1"/>
      <c r="B244" s="2"/>
      <c r="C244" s="3"/>
      <c r="S244" s="131"/>
      <c r="T244" s="131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1"/>
      <c r="AN244" s="1"/>
      <c r="AO244" s="1"/>
      <c r="AP244" s="1"/>
      <c r="AQ244" s="1"/>
      <c r="AR244" s="1"/>
      <c r="AS244" s="1"/>
      <c r="AT244" s="1"/>
      <c r="AU244" s="24"/>
      <c r="AV244" s="24"/>
      <c r="AW244" s="24"/>
      <c r="AX244" s="236"/>
      <c r="AY244" s="236"/>
      <c r="AZ244" s="236"/>
      <c r="BA244" s="236"/>
    </row>
    <row r="245" spans="1:53" s="51" customFormat="1" x14ac:dyDescent="0.2">
      <c r="A245" s="1"/>
      <c r="B245" s="2"/>
      <c r="C245" s="3"/>
      <c r="S245" s="131"/>
      <c r="T245" s="131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1"/>
      <c r="AN245" s="1"/>
      <c r="AO245" s="1"/>
      <c r="AP245" s="1"/>
      <c r="AQ245" s="1"/>
      <c r="AR245" s="1"/>
      <c r="AS245" s="1"/>
      <c r="AT245" s="1"/>
      <c r="AU245" s="24"/>
      <c r="AV245" s="24"/>
      <c r="AW245" s="24"/>
      <c r="AX245" s="236"/>
      <c r="AY245" s="236"/>
      <c r="AZ245" s="236"/>
      <c r="BA245" s="236"/>
    </row>
    <row r="246" spans="1:53" s="51" customFormat="1" x14ac:dyDescent="0.2">
      <c r="A246" s="1"/>
      <c r="B246" s="2"/>
      <c r="C246" s="3"/>
      <c r="S246" s="131"/>
      <c r="T246" s="131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1"/>
      <c r="AN246" s="1"/>
      <c r="AO246" s="1"/>
      <c r="AP246" s="1"/>
      <c r="AQ246" s="1"/>
      <c r="AR246" s="1"/>
      <c r="AS246" s="1"/>
      <c r="AT246" s="1"/>
      <c r="AU246" s="24"/>
      <c r="AV246" s="24"/>
      <c r="AW246" s="24"/>
      <c r="AX246" s="236"/>
      <c r="AY246" s="236"/>
      <c r="AZ246" s="236"/>
      <c r="BA246" s="236"/>
    </row>
    <row r="247" spans="1:53" s="51" customFormat="1" x14ac:dyDescent="0.2">
      <c r="A247" s="1"/>
      <c r="B247" s="2"/>
      <c r="C247" s="3"/>
      <c r="S247" s="131"/>
      <c r="T247" s="131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1"/>
      <c r="AN247" s="1"/>
      <c r="AO247" s="1"/>
      <c r="AP247" s="1"/>
      <c r="AQ247" s="1"/>
      <c r="AR247" s="1"/>
      <c r="AS247" s="1"/>
      <c r="AT247" s="1"/>
      <c r="AU247" s="24"/>
      <c r="AV247" s="24"/>
      <c r="AW247" s="24"/>
      <c r="AX247" s="236"/>
      <c r="AY247" s="236"/>
      <c r="AZ247" s="236"/>
      <c r="BA247" s="236"/>
    </row>
    <row r="248" spans="1:53" s="51" customFormat="1" x14ac:dyDescent="0.2">
      <c r="A248" s="1"/>
      <c r="B248" s="2"/>
      <c r="C248" s="3"/>
      <c r="S248" s="131"/>
      <c r="T248" s="131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1"/>
      <c r="AN248" s="1"/>
      <c r="AO248" s="1"/>
      <c r="AP248" s="1"/>
      <c r="AQ248" s="1"/>
      <c r="AR248" s="1"/>
      <c r="AS248" s="1"/>
      <c r="AT248" s="1"/>
      <c r="AU248" s="24"/>
      <c r="AV248" s="24"/>
      <c r="AW248" s="24"/>
      <c r="AX248" s="236"/>
      <c r="AY248" s="236"/>
      <c r="AZ248" s="236"/>
      <c r="BA248" s="236"/>
    </row>
    <row r="249" spans="1:53" s="51" customFormat="1" x14ac:dyDescent="0.2">
      <c r="A249" s="1"/>
      <c r="B249" s="2"/>
      <c r="C249" s="3"/>
      <c r="S249" s="131"/>
      <c r="T249" s="131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1"/>
      <c r="AN249" s="1"/>
      <c r="AO249" s="1"/>
      <c r="AP249" s="1"/>
      <c r="AQ249" s="1"/>
      <c r="AR249" s="1"/>
      <c r="AS249" s="1"/>
      <c r="AT249" s="1"/>
      <c r="AU249" s="24"/>
      <c r="AV249" s="24"/>
      <c r="AW249" s="24"/>
      <c r="AX249" s="236"/>
      <c r="AY249" s="236"/>
      <c r="AZ249" s="236"/>
      <c r="BA249" s="236"/>
    </row>
    <row r="250" spans="1:53" s="51" customFormat="1" x14ac:dyDescent="0.2">
      <c r="A250" s="1"/>
      <c r="B250" s="2"/>
      <c r="C250" s="3"/>
      <c r="S250" s="131"/>
      <c r="T250" s="131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1"/>
      <c r="AN250" s="1"/>
      <c r="AO250" s="1"/>
      <c r="AP250" s="1"/>
      <c r="AQ250" s="1"/>
      <c r="AR250" s="1"/>
      <c r="AS250" s="1"/>
      <c r="AT250" s="1"/>
      <c r="AU250" s="24"/>
      <c r="AV250" s="24"/>
      <c r="AW250" s="24"/>
      <c r="AX250" s="236"/>
      <c r="AY250" s="236"/>
      <c r="AZ250" s="236"/>
      <c r="BA250" s="236"/>
    </row>
    <row r="251" spans="1:53" s="51" customFormat="1" x14ac:dyDescent="0.2">
      <c r="A251" s="1"/>
      <c r="B251" s="2"/>
      <c r="C251" s="3"/>
      <c r="S251" s="131"/>
      <c r="T251" s="131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1"/>
      <c r="AN251" s="1"/>
      <c r="AO251" s="1"/>
      <c r="AP251" s="1"/>
      <c r="AQ251" s="1"/>
      <c r="AR251" s="1"/>
      <c r="AS251" s="1"/>
      <c r="AT251" s="1"/>
      <c r="AU251" s="24"/>
      <c r="AV251" s="24"/>
      <c r="AW251" s="24"/>
      <c r="AX251" s="236"/>
      <c r="AY251" s="236"/>
      <c r="AZ251" s="236"/>
      <c r="BA251" s="236"/>
    </row>
    <row r="252" spans="1:53" s="51" customFormat="1" x14ac:dyDescent="0.2">
      <c r="A252" s="1"/>
      <c r="B252" s="2"/>
      <c r="C252" s="3"/>
      <c r="S252" s="131"/>
      <c r="T252" s="131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1"/>
      <c r="AN252" s="1"/>
      <c r="AO252" s="1"/>
      <c r="AP252" s="1"/>
      <c r="AQ252" s="1"/>
      <c r="AR252" s="1"/>
      <c r="AS252" s="1"/>
      <c r="AT252" s="1"/>
      <c r="AU252" s="24"/>
      <c r="AV252" s="24"/>
      <c r="AW252" s="24"/>
      <c r="AX252" s="236"/>
      <c r="AY252" s="236"/>
      <c r="AZ252" s="236"/>
      <c r="BA252" s="236"/>
    </row>
    <row r="253" spans="1:53" s="51" customFormat="1" x14ac:dyDescent="0.2">
      <c r="A253" s="1"/>
      <c r="B253" s="2"/>
      <c r="C253" s="3"/>
      <c r="S253" s="131"/>
      <c r="T253" s="131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1"/>
      <c r="AN253" s="1"/>
      <c r="AO253" s="1"/>
      <c r="AP253" s="1"/>
      <c r="AQ253" s="1"/>
      <c r="AR253" s="1"/>
      <c r="AS253" s="1"/>
      <c r="AT253" s="1"/>
      <c r="AU253" s="24"/>
      <c r="AV253" s="24"/>
      <c r="AW253" s="24"/>
      <c r="AX253" s="236"/>
      <c r="AY253" s="236"/>
      <c r="AZ253" s="236"/>
      <c r="BA253" s="236"/>
    </row>
    <row r="254" spans="1:53" s="51" customFormat="1" x14ac:dyDescent="0.2">
      <c r="A254" s="1"/>
      <c r="B254" s="2"/>
      <c r="C254" s="3"/>
      <c r="S254" s="131"/>
      <c r="T254" s="131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1"/>
      <c r="AN254" s="1"/>
      <c r="AO254" s="1"/>
      <c r="AP254" s="1"/>
      <c r="AQ254" s="1"/>
      <c r="AR254" s="1"/>
      <c r="AS254" s="1"/>
      <c r="AT254" s="1"/>
      <c r="AU254" s="24"/>
      <c r="AV254" s="24"/>
      <c r="AW254" s="24"/>
      <c r="AX254" s="236"/>
      <c r="AY254" s="236"/>
      <c r="AZ254" s="236"/>
      <c r="BA254" s="236"/>
    </row>
    <row r="255" spans="1:53" s="51" customFormat="1" x14ac:dyDescent="0.2">
      <c r="A255" s="1"/>
      <c r="B255" s="2"/>
      <c r="C255" s="3"/>
      <c r="S255" s="131"/>
      <c r="T255" s="131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1"/>
      <c r="AN255" s="1"/>
      <c r="AO255" s="1"/>
      <c r="AP255" s="1"/>
      <c r="AQ255" s="1"/>
      <c r="AR255" s="1"/>
      <c r="AS255" s="1"/>
      <c r="AT255" s="1"/>
      <c r="AU255" s="24"/>
      <c r="AV255" s="24"/>
      <c r="AW255" s="24"/>
      <c r="AX255" s="236"/>
      <c r="AY255" s="236"/>
      <c r="AZ255" s="236"/>
      <c r="BA255" s="236"/>
    </row>
    <row r="256" spans="1:53" s="51" customFormat="1" x14ac:dyDescent="0.2">
      <c r="A256" s="1"/>
      <c r="B256" s="2"/>
      <c r="C256" s="3"/>
      <c r="S256" s="131"/>
      <c r="T256" s="131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1"/>
      <c r="AN256" s="1"/>
      <c r="AO256" s="1"/>
      <c r="AP256" s="1"/>
      <c r="AQ256" s="1"/>
      <c r="AR256" s="1"/>
      <c r="AS256" s="1"/>
      <c r="AT256" s="1"/>
      <c r="AU256" s="24"/>
      <c r="AV256" s="24"/>
      <c r="AW256" s="24"/>
      <c r="AX256" s="236"/>
      <c r="AY256" s="236"/>
      <c r="AZ256" s="236"/>
      <c r="BA256" s="236"/>
    </row>
    <row r="257" spans="1:53" s="51" customFormat="1" x14ac:dyDescent="0.2">
      <c r="A257" s="1"/>
      <c r="B257" s="2"/>
      <c r="C257" s="3"/>
      <c r="S257" s="131"/>
      <c r="T257" s="131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1"/>
      <c r="AN257" s="1"/>
      <c r="AO257" s="1"/>
      <c r="AP257" s="1"/>
      <c r="AQ257" s="1"/>
      <c r="AR257" s="1"/>
      <c r="AS257" s="1"/>
      <c r="AT257" s="1"/>
      <c r="AU257" s="24"/>
      <c r="AV257" s="24"/>
      <c r="AW257" s="24"/>
      <c r="AX257" s="236"/>
      <c r="AY257" s="236"/>
      <c r="AZ257" s="236"/>
      <c r="BA257" s="236"/>
    </row>
    <row r="258" spans="1:53" s="51" customFormat="1" x14ac:dyDescent="0.2">
      <c r="A258" s="1"/>
      <c r="B258" s="2"/>
      <c r="C258" s="3"/>
      <c r="S258" s="131"/>
      <c r="T258" s="131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1"/>
      <c r="AN258" s="1"/>
      <c r="AO258" s="1"/>
      <c r="AP258" s="1"/>
      <c r="AQ258" s="1"/>
      <c r="AR258" s="1"/>
      <c r="AS258" s="1"/>
      <c r="AT258" s="1"/>
      <c r="AU258" s="24"/>
      <c r="AV258" s="24"/>
      <c r="AW258" s="24"/>
      <c r="AX258" s="236"/>
      <c r="AY258" s="236"/>
      <c r="AZ258" s="236"/>
      <c r="BA258" s="236"/>
    </row>
    <row r="259" spans="1:53" s="51" customFormat="1" x14ac:dyDescent="0.2">
      <c r="A259" s="1"/>
      <c r="B259" s="2"/>
      <c r="C259" s="3"/>
      <c r="S259" s="131"/>
      <c r="T259" s="131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1"/>
      <c r="AN259" s="1"/>
      <c r="AO259" s="1"/>
      <c r="AP259" s="1"/>
      <c r="AQ259" s="1"/>
      <c r="AR259" s="1"/>
      <c r="AS259" s="1"/>
      <c r="AT259" s="1"/>
      <c r="AU259" s="24"/>
      <c r="AV259" s="24"/>
      <c r="AW259" s="24"/>
      <c r="AX259" s="236"/>
      <c r="AY259" s="236"/>
      <c r="AZ259" s="236"/>
      <c r="BA259" s="236"/>
    </row>
    <row r="260" spans="1:53" s="51" customFormat="1" x14ac:dyDescent="0.2">
      <c r="A260" s="1"/>
      <c r="B260" s="2"/>
      <c r="C260" s="3"/>
      <c r="S260" s="131"/>
      <c r="T260" s="131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1"/>
      <c r="AN260" s="1"/>
      <c r="AO260" s="1"/>
      <c r="AP260" s="1"/>
      <c r="AQ260" s="1"/>
      <c r="AR260" s="1"/>
      <c r="AS260" s="1"/>
      <c r="AT260" s="1"/>
      <c r="AU260" s="24"/>
      <c r="AV260" s="24"/>
      <c r="AW260" s="24"/>
      <c r="AX260" s="236"/>
      <c r="AY260" s="236"/>
      <c r="AZ260" s="236"/>
      <c r="BA260" s="236"/>
    </row>
    <row r="261" spans="1:53" s="51" customFormat="1" x14ac:dyDescent="0.2">
      <c r="A261" s="1"/>
      <c r="B261" s="2"/>
      <c r="C261" s="3"/>
      <c r="S261" s="131"/>
      <c r="T261" s="131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1"/>
      <c r="AN261" s="1"/>
      <c r="AO261" s="1"/>
      <c r="AP261" s="1"/>
      <c r="AQ261" s="1"/>
      <c r="AR261" s="1"/>
      <c r="AS261" s="1"/>
      <c r="AT261" s="1"/>
      <c r="AU261" s="24"/>
      <c r="AV261" s="24"/>
      <c r="AW261" s="24"/>
      <c r="AX261" s="236"/>
      <c r="AY261" s="236"/>
      <c r="AZ261" s="236"/>
      <c r="BA261" s="236"/>
    </row>
    <row r="262" spans="1:53" s="51" customFormat="1" x14ac:dyDescent="0.2">
      <c r="A262" s="1"/>
      <c r="B262" s="2"/>
      <c r="C262" s="3"/>
      <c r="S262" s="131"/>
      <c r="T262" s="131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1"/>
      <c r="AN262" s="1"/>
      <c r="AO262" s="1"/>
      <c r="AP262" s="1"/>
      <c r="AQ262" s="1"/>
      <c r="AR262" s="1"/>
      <c r="AS262" s="1"/>
      <c r="AT262" s="1"/>
      <c r="AU262" s="24"/>
      <c r="AV262" s="24"/>
      <c r="AW262" s="24"/>
      <c r="AX262" s="236"/>
      <c r="AY262" s="236"/>
      <c r="AZ262" s="236"/>
      <c r="BA262" s="236"/>
    </row>
    <row r="263" spans="1:53" s="51" customFormat="1" x14ac:dyDescent="0.2">
      <c r="A263" s="1"/>
      <c r="B263" s="2"/>
      <c r="C263" s="3"/>
      <c r="S263" s="131"/>
      <c r="T263" s="131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1"/>
      <c r="AN263" s="1"/>
      <c r="AO263" s="1"/>
      <c r="AP263" s="1"/>
      <c r="AQ263" s="1"/>
      <c r="AR263" s="1"/>
      <c r="AS263" s="1"/>
      <c r="AT263" s="1"/>
      <c r="AU263" s="24"/>
      <c r="AV263" s="24"/>
      <c r="AW263" s="24"/>
      <c r="AX263" s="236"/>
      <c r="AY263" s="236"/>
      <c r="AZ263" s="236"/>
      <c r="BA263" s="236"/>
    </row>
    <row r="264" spans="1:53" s="51" customFormat="1" x14ac:dyDescent="0.2">
      <c r="A264" s="1"/>
      <c r="B264" s="2"/>
      <c r="C264" s="3"/>
      <c r="S264" s="131"/>
      <c r="T264" s="131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1"/>
      <c r="AN264" s="1"/>
      <c r="AO264" s="1"/>
      <c r="AP264" s="1"/>
      <c r="AQ264" s="1"/>
      <c r="AR264" s="1"/>
      <c r="AS264" s="1"/>
      <c r="AT264" s="1"/>
      <c r="AU264" s="24"/>
      <c r="AV264" s="24"/>
      <c r="AW264" s="24"/>
      <c r="AX264" s="236"/>
      <c r="AY264" s="236"/>
      <c r="AZ264" s="236"/>
      <c r="BA264" s="236"/>
    </row>
    <row r="265" spans="1:53" s="51" customFormat="1" x14ac:dyDescent="0.2">
      <c r="A265" s="1"/>
      <c r="B265" s="2"/>
      <c r="C265" s="3"/>
      <c r="S265" s="131"/>
      <c r="T265" s="131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1"/>
      <c r="AN265" s="1"/>
      <c r="AO265" s="1"/>
      <c r="AP265" s="1"/>
      <c r="AQ265" s="1"/>
      <c r="AR265" s="1"/>
      <c r="AS265" s="1"/>
      <c r="AT265" s="1"/>
      <c r="AU265" s="24"/>
      <c r="AV265" s="24"/>
      <c r="AW265" s="24"/>
      <c r="AX265" s="236"/>
      <c r="AY265" s="236"/>
      <c r="AZ265" s="236"/>
      <c r="BA265" s="236"/>
    </row>
    <row r="266" spans="1:53" s="51" customFormat="1" x14ac:dyDescent="0.2">
      <c r="A266" s="1"/>
      <c r="B266" s="2"/>
      <c r="C266" s="3"/>
      <c r="S266" s="131"/>
      <c r="T266" s="131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1"/>
      <c r="AN266" s="1"/>
      <c r="AO266" s="1"/>
      <c r="AP266" s="1"/>
      <c r="AQ266" s="1"/>
      <c r="AR266" s="1"/>
      <c r="AS266" s="1"/>
      <c r="AT266" s="1"/>
      <c r="AU266" s="24"/>
      <c r="AV266" s="24"/>
      <c r="AW266" s="24"/>
      <c r="AX266" s="236"/>
      <c r="AY266" s="236"/>
      <c r="AZ266" s="236"/>
      <c r="BA266" s="236"/>
    </row>
    <row r="267" spans="1:53" s="51" customFormat="1" x14ac:dyDescent="0.2">
      <c r="A267" s="1"/>
      <c r="B267" s="2"/>
      <c r="C267" s="3"/>
      <c r="S267" s="131"/>
      <c r="T267" s="131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1"/>
      <c r="AN267" s="1"/>
      <c r="AO267" s="1"/>
      <c r="AP267" s="1"/>
      <c r="AQ267" s="1"/>
      <c r="AR267" s="1"/>
      <c r="AS267" s="1"/>
      <c r="AT267" s="1"/>
      <c r="AU267" s="24"/>
      <c r="AV267" s="24"/>
      <c r="AW267" s="24"/>
      <c r="AX267" s="236"/>
      <c r="AY267" s="236"/>
      <c r="AZ267" s="236"/>
      <c r="BA267" s="236"/>
    </row>
    <row r="268" spans="1:53" s="51" customFormat="1" x14ac:dyDescent="0.2">
      <c r="A268" s="1"/>
      <c r="B268" s="2"/>
      <c r="C268" s="3"/>
      <c r="S268" s="131"/>
      <c r="T268" s="131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1"/>
      <c r="AN268" s="1"/>
      <c r="AO268" s="1"/>
      <c r="AP268" s="1"/>
      <c r="AQ268" s="1"/>
      <c r="AR268" s="1"/>
      <c r="AS268" s="1"/>
      <c r="AT268" s="1"/>
      <c r="AU268" s="24"/>
      <c r="AV268" s="24"/>
      <c r="AW268" s="24"/>
      <c r="AX268" s="236"/>
      <c r="AY268" s="236"/>
      <c r="AZ268" s="236"/>
      <c r="BA268" s="236"/>
    </row>
    <row r="269" spans="1:53" s="51" customFormat="1" x14ac:dyDescent="0.2">
      <c r="A269" s="1"/>
      <c r="B269" s="2"/>
      <c r="C269" s="3"/>
      <c r="S269" s="131"/>
      <c r="T269" s="131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1"/>
      <c r="AN269" s="1"/>
      <c r="AO269" s="1"/>
      <c r="AP269" s="1"/>
      <c r="AQ269" s="1"/>
      <c r="AR269" s="1"/>
      <c r="AS269" s="1"/>
      <c r="AT269" s="1"/>
      <c r="AU269" s="24"/>
      <c r="AV269" s="24"/>
      <c r="AW269" s="24"/>
      <c r="AX269" s="236"/>
      <c r="AY269" s="236"/>
      <c r="AZ269" s="236"/>
      <c r="BA269" s="236"/>
    </row>
    <row r="270" spans="1:53" s="51" customFormat="1" x14ac:dyDescent="0.2">
      <c r="A270" s="1"/>
      <c r="B270" s="2"/>
      <c r="C270" s="3"/>
      <c r="S270" s="131"/>
      <c r="T270" s="131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1"/>
      <c r="AN270" s="1"/>
      <c r="AO270" s="1"/>
      <c r="AP270" s="1"/>
      <c r="AQ270" s="1"/>
      <c r="AR270" s="1"/>
      <c r="AS270" s="1"/>
      <c r="AT270" s="1"/>
      <c r="AU270" s="24"/>
      <c r="AV270" s="24"/>
      <c r="AW270" s="24"/>
      <c r="AX270" s="236"/>
      <c r="AY270" s="236"/>
      <c r="AZ270" s="236"/>
      <c r="BA270" s="236"/>
    </row>
    <row r="271" spans="1:53" s="51" customFormat="1" x14ac:dyDescent="0.2">
      <c r="A271" s="1"/>
      <c r="B271" s="2"/>
      <c r="C271" s="3"/>
      <c r="S271" s="131"/>
      <c r="T271" s="131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1"/>
      <c r="AN271" s="1"/>
      <c r="AO271" s="1"/>
      <c r="AP271" s="1"/>
      <c r="AQ271" s="1"/>
      <c r="AR271" s="1"/>
      <c r="AS271" s="1"/>
      <c r="AT271" s="1"/>
      <c r="AU271" s="24"/>
      <c r="AV271" s="24"/>
      <c r="AW271" s="24"/>
      <c r="AX271" s="236"/>
      <c r="AY271" s="236"/>
      <c r="AZ271" s="236"/>
      <c r="BA271" s="236"/>
    </row>
    <row r="272" spans="1:53" s="51" customFormat="1" x14ac:dyDescent="0.2">
      <c r="A272" s="1"/>
      <c r="B272" s="2"/>
      <c r="C272" s="3"/>
      <c r="S272" s="131"/>
      <c r="T272" s="131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1"/>
      <c r="AN272" s="1"/>
      <c r="AO272" s="1"/>
      <c r="AP272" s="1"/>
      <c r="AQ272" s="1"/>
      <c r="AR272" s="1"/>
      <c r="AS272" s="1"/>
      <c r="AT272" s="1"/>
      <c r="AU272" s="24"/>
      <c r="AV272" s="24"/>
      <c r="AW272" s="24"/>
      <c r="AX272" s="236"/>
      <c r="AY272" s="236"/>
      <c r="AZ272" s="236"/>
      <c r="BA272" s="236"/>
    </row>
    <row r="273" spans="1:53" s="51" customFormat="1" x14ac:dyDescent="0.2">
      <c r="A273" s="1"/>
      <c r="B273" s="2"/>
      <c r="C273" s="3"/>
      <c r="S273" s="131"/>
      <c r="T273" s="131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1"/>
      <c r="AN273" s="1"/>
      <c r="AO273" s="1"/>
      <c r="AP273" s="1"/>
      <c r="AQ273" s="1"/>
      <c r="AR273" s="1"/>
      <c r="AS273" s="1"/>
      <c r="AT273" s="1"/>
      <c r="AU273" s="24"/>
      <c r="AV273" s="24"/>
      <c r="AW273" s="24"/>
      <c r="AX273" s="236"/>
      <c r="AY273" s="236"/>
      <c r="AZ273" s="236"/>
      <c r="BA273" s="236"/>
    </row>
    <row r="274" spans="1:53" s="51" customFormat="1" x14ac:dyDescent="0.2">
      <c r="A274" s="1"/>
      <c r="B274" s="2"/>
      <c r="C274" s="3"/>
      <c r="S274" s="131"/>
      <c r="T274" s="131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1"/>
      <c r="AN274" s="1"/>
      <c r="AO274" s="1"/>
      <c r="AP274" s="1"/>
      <c r="AQ274" s="1"/>
      <c r="AR274" s="1"/>
      <c r="AS274" s="1"/>
      <c r="AT274" s="1"/>
      <c r="AU274" s="24"/>
      <c r="AV274" s="24"/>
      <c r="AW274" s="24"/>
      <c r="AX274" s="236"/>
      <c r="AY274" s="236"/>
      <c r="AZ274" s="236"/>
      <c r="BA274" s="236"/>
    </row>
    <row r="275" spans="1:53" s="51" customFormat="1" x14ac:dyDescent="0.2">
      <c r="A275" s="1"/>
      <c r="B275" s="2"/>
      <c r="C275" s="3"/>
      <c r="S275" s="131"/>
      <c r="T275" s="131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1"/>
      <c r="AN275" s="1"/>
      <c r="AO275" s="1"/>
      <c r="AP275" s="1"/>
      <c r="AQ275" s="1"/>
      <c r="AR275" s="1"/>
      <c r="AS275" s="1"/>
      <c r="AT275" s="1"/>
      <c r="AU275" s="24"/>
      <c r="AV275" s="24"/>
      <c r="AW275" s="24"/>
      <c r="AX275" s="236"/>
      <c r="AY275" s="236"/>
      <c r="AZ275" s="236"/>
      <c r="BA275" s="236"/>
    </row>
    <row r="276" spans="1:53" s="51" customFormat="1" x14ac:dyDescent="0.2">
      <c r="A276" s="1"/>
      <c r="B276" s="2"/>
      <c r="C276" s="3"/>
      <c r="S276" s="131"/>
      <c r="T276" s="131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1"/>
      <c r="AN276" s="1"/>
      <c r="AO276" s="1"/>
      <c r="AP276" s="1"/>
      <c r="AQ276" s="1"/>
      <c r="AR276" s="1"/>
      <c r="AS276" s="1"/>
      <c r="AT276" s="1"/>
      <c r="AU276" s="24"/>
      <c r="AV276" s="24"/>
      <c r="AW276" s="24"/>
      <c r="AX276" s="236"/>
      <c r="AY276" s="236"/>
      <c r="AZ276" s="236"/>
      <c r="BA276" s="236"/>
    </row>
    <row r="277" spans="1:53" s="51" customFormat="1" x14ac:dyDescent="0.2">
      <c r="A277" s="1"/>
      <c r="B277" s="2"/>
      <c r="C277" s="3"/>
      <c r="S277" s="131"/>
      <c r="T277" s="131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1"/>
      <c r="AN277" s="1"/>
      <c r="AO277" s="1"/>
      <c r="AP277" s="1"/>
      <c r="AQ277" s="1"/>
      <c r="AR277" s="1"/>
      <c r="AS277" s="1"/>
      <c r="AT277" s="1"/>
      <c r="AU277" s="24"/>
      <c r="AV277" s="24"/>
      <c r="AW277" s="24"/>
      <c r="AX277" s="236"/>
      <c r="AY277" s="236"/>
      <c r="AZ277" s="236"/>
      <c r="BA277" s="236"/>
    </row>
    <row r="278" spans="1:53" s="51" customFormat="1" x14ac:dyDescent="0.2">
      <c r="A278" s="1"/>
      <c r="B278" s="2"/>
      <c r="C278" s="3"/>
      <c r="S278" s="131"/>
      <c r="T278" s="131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1"/>
      <c r="AN278" s="1"/>
      <c r="AO278" s="1"/>
      <c r="AP278" s="1"/>
      <c r="AQ278" s="1"/>
      <c r="AR278" s="1"/>
      <c r="AS278" s="1"/>
      <c r="AT278" s="1"/>
      <c r="AU278" s="24"/>
      <c r="AV278" s="24"/>
      <c r="AW278" s="24"/>
      <c r="AX278" s="236"/>
      <c r="AY278" s="236"/>
      <c r="AZ278" s="236"/>
      <c r="BA278" s="236"/>
    </row>
    <row r="279" spans="1:53" s="51" customFormat="1" x14ac:dyDescent="0.2">
      <c r="A279" s="1"/>
      <c r="B279" s="2"/>
      <c r="C279" s="3"/>
      <c r="S279" s="131"/>
      <c r="T279" s="131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1"/>
      <c r="AN279" s="1"/>
      <c r="AO279" s="1"/>
      <c r="AP279" s="1"/>
      <c r="AQ279" s="1"/>
      <c r="AR279" s="1"/>
      <c r="AS279" s="1"/>
      <c r="AT279" s="1"/>
      <c r="AU279" s="24"/>
      <c r="AV279" s="24"/>
      <c r="AW279" s="24"/>
      <c r="AX279" s="236"/>
      <c r="AY279" s="236"/>
      <c r="AZ279" s="236"/>
      <c r="BA279" s="236"/>
    </row>
    <row r="280" spans="1:53" s="51" customFormat="1" x14ac:dyDescent="0.2">
      <c r="A280" s="1"/>
      <c r="B280" s="2"/>
      <c r="C280" s="3"/>
      <c r="S280" s="131"/>
      <c r="T280" s="131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1"/>
      <c r="AN280" s="1"/>
      <c r="AO280" s="1"/>
      <c r="AP280" s="1"/>
      <c r="AQ280" s="1"/>
      <c r="AR280" s="1"/>
      <c r="AS280" s="1"/>
      <c r="AT280" s="1"/>
      <c r="AU280" s="24"/>
      <c r="AV280" s="24"/>
      <c r="AW280" s="24"/>
      <c r="AX280" s="236"/>
      <c r="AY280" s="236"/>
      <c r="AZ280" s="236"/>
      <c r="BA280" s="236"/>
    </row>
    <row r="281" spans="1:53" s="51" customFormat="1" x14ac:dyDescent="0.2">
      <c r="A281" s="1"/>
      <c r="B281" s="2"/>
      <c r="C281" s="3"/>
      <c r="S281" s="131"/>
      <c r="T281" s="131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1"/>
      <c r="AN281" s="1"/>
      <c r="AO281" s="1"/>
      <c r="AP281" s="1"/>
      <c r="AQ281" s="1"/>
      <c r="AR281" s="1"/>
      <c r="AS281" s="1"/>
      <c r="AT281" s="1"/>
      <c r="AU281" s="24"/>
      <c r="AV281" s="24"/>
      <c r="AW281" s="24"/>
      <c r="AX281" s="236"/>
      <c r="AY281" s="236"/>
      <c r="AZ281" s="236"/>
      <c r="BA281" s="236"/>
    </row>
    <row r="282" spans="1:53" s="51" customFormat="1" x14ac:dyDescent="0.2">
      <c r="A282" s="1"/>
      <c r="B282" s="2"/>
      <c r="C282" s="3"/>
      <c r="S282" s="131"/>
      <c r="T282" s="131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1"/>
      <c r="AN282" s="1"/>
      <c r="AO282" s="1"/>
      <c r="AP282" s="1"/>
      <c r="AQ282" s="1"/>
      <c r="AR282" s="1"/>
      <c r="AS282" s="1"/>
      <c r="AT282" s="1"/>
      <c r="AU282" s="24"/>
      <c r="AV282" s="24"/>
      <c r="AW282" s="24"/>
      <c r="AX282" s="236"/>
      <c r="AY282" s="236"/>
      <c r="AZ282" s="236"/>
      <c r="BA282" s="236"/>
    </row>
    <row r="283" spans="1:53" s="51" customFormat="1" x14ac:dyDescent="0.2">
      <c r="A283" s="1"/>
      <c r="B283" s="2"/>
      <c r="C283" s="3"/>
      <c r="S283" s="131"/>
      <c r="T283" s="131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1"/>
      <c r="AN283" s="1"/>
      <c r="AO283" s="1"/>
      <c r="AP283" s="1"/>
      <c r="AQ283" s="1"/>
      <c r="AR283" s="1"/>
      <c r="AS283" s="1"/>
      <c r="AT283" s="1"/>
      <c r="AU283" s="24"/>
      <c r="AV283" s="24"/>
      <c r="AW283" s="24"/>
      <c r="AX283" s="236"/>
      <c r="AY283" s="236"/>
      <c r="AZ283" s="236"/>
      <c r="BA283" s="236"/>
    </row>
    <row r="284" spans="1:53" s="51" customFormat="1" x14ac:dyDescent="0.2">
      <c r="A284" s="1"/>
      <c r="B284" s="2"/>
      <c r="C284" s="3"/>
      <c r="S284" s="131"/>
      <c r="T284" s="131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1"/>
      <c r="AN284" s="1"/>
      <c r="AO284" s="1"/>
      <c r="AP284" s="1"/>
      <c r="AQ284" s="1"/>
      <c r="AR284" s="1"/>
      <c r="AS284" s="1"/>
      <c r="AT284" s="1"/>
      <c r="AU284" s="24"/>
      <c r="AV284" s="24"/>
      <c r="AW284" s="24"/>
      <c r="AX284" s="236"/>
      <c r="AY284" s="236"/>
      <c r="AZ284" s="236"/>
      <c r="BA284" s="236"/>
    </row>
    <row r="285" spans="1:53" s="51" customFormat="1" x14ac:dyDescent="0.2">
      <c r="A285" s="1"/>
      <c r="B285" s="2"/>
      <c r="C285" s="3"/>
      <c r="S285" s="131"/>
      <c r="T285" s="131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1"/>
      <c r="AN285" s="1"/>
      <c r="AO285" s="1"/>
      <c r="AP285" s="1"/>
      <c r="AQ285" s="1"/>
      <c r="AR285" s="1"/>
      <c r="AS285" s="1"/>
      <c r="AT285" s="1"/>
      <c r="AU285" s="24"/>
      <c r="AV285" s="24"/>
      <c r="AW285" s="24"/>
      <c r="AX285" s="236"/>
      <c r="AY285" s="236"/>
      <c r="AZ285" s="236"/>
      <c r="BA285" s="236"/>
    </row>
    <row r="286" spans="1:53" s="51" customFormat="1" x14ac:dyDescent="0.2">
      <c r="A286" s="1"/>
      <c r="B286" s="2"/>
      <c r="C286" s="3"/>
      <c r="S286" s="131"/>
      <c r="T286" s="131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1"/>
      <c r="AN286" s="1"/>
      <c r="AO286" s="1"/>
      <c r="AP286" s="1"/>
      <c r="AQ286" s="1"/>
      <c r="AR286" s="1"/>
      <c r="AS286" s="1"/>
      <c r="AT286" s="1"/>
      <c r="AU286" s="24"/>
      <c r="AV286" s="24"/>
      <c r="AW286" s="24"/>
      <c r="AX286" s="236"/>
      <c r="AY286" s="236"/>
      <c r="AZ286" s="236"/>
      <c r="BA286" s="236"/>
    </row>
    <row r="287" spans="1:53" s="51" customFormat="1" x14ac:dyDescent="0.2">
      <c r="A287" s="1"/>
      <c r="B287" s="2"/>
      <c r="C287" s="3"/>
      <c r="S287" s="131"/>
      <c r="T287" s="131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1"/>
      <c r="AN287" s="1"/>
      <c r="AO287" s="1"/>
      <c r="AP287" s="1"/>
      <c r="AQ287" s="1"/>
      <c r="AR287" s="1"/>
      <c r="AS287" s="1"/>
      <c r="AT287" s="1"/>
      <c r="AU287" s="24"/>
      <c r="AV287" s="24"/>
      <c r="AW287" s="24"/>
      <c r="AX287" s="236"/>
      <c r="AY287" s="236"/>
      <c r="AZ287" s="236"/>
      <c r="BA287" s="236"/>
    </row>
    <row r="288" spans="1:53" s="51" customFormat="1" x14ac:dyDescent="0.2">
      <c r="A288" s="1"/>
      <c r="B288" s="2"/>
      <c r="C288" s="3"/>
      <c r="S288" s="131"/>
      <c r="T288" s="131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1"/>
      <c r="AN288" s="1"/>
      <c r="AO288" s="1"/>
      <c r="AP288" s="1"/>
      <c r="AQ288" s="1"/>
      <c r="AR288" s="1"/>
      <c r="AS288" s="1"/>
      <c r="AT288" s="1"/>
      <c r="AU288" s="24"/>
      <c r="AV288" s="24"/>
      <c r="AW288" s="24"/>
      <c r="AX288" s="236"/>
      <c r="AY288" s="236"/>
      <c r="AZ288" s="236"/>
      <c r="BA288" s="236"/>
    </row>
    <row r="289" spans="1:53" s="51" customFormat="1" x14ac:dyDescent="0.2">
      <c r="A289" s="1"/>
      <c r="B289" s="2"/>
      <c r="C289" s="3"/>
      <c r="S289" s="131"/>
      <c r="T289" s="131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1"/>
      <c r="AN289" s="1"/>
      <c r="AO289" s="1"/>
      <c r="AP289" s="1"/>
      <c r="AQ289" s="1"/>
      <c r="AR289" s="1"/>
      <c r="AS289" s="1"/>
      <c r="AT289" s="1"/>
      <c r="AU289" s="24"/>
      <c r="AV289" s="24"/>
      <c r="AW289" s="24"/>
      <c r="AX289" s="236"/>
      <c r="AY289" s="236"/>
      <c r="AZ289" s="236"/>
      <c r="BA289" s="236"/>
    </row>
    <row r="290" spans="1:53" s="51" customFormat="1" x14ac:dyDescent="0.2">
      <c r="A290" s="1"/>
      <c r="B290" s="2"/>
      <c r="C290" s="3"/>
      <c r="S290" s="131"/>
      <c r="T290" s="131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1"/>
      <c r="AN290" s="1"/>
      <c r="AO290" s="1"/>
      <c r="AP290" s="1"/>
      <c r="AQ290" s="1"/>
      <c r="AR290" s="1"/>
      <c r="AS290" s="1"/>
      <c r="AT290" s="1"/>
      <c r="AU290" s="24"/>
      <c r="AV290" s="24"/>
      <c r="AW290" s="24"/>
      <c r="AX290" s="236"/>
      <c r="AY290" s="236"/>
      <c r="AZ290" s="236"/>
      <c r="BA290" s="236"/>
    </row>
    <row r="291" spans="1:53" s="51" customFormat="1" x14ac:dyDescent="0.2">
      <c r="A291" s="1"/>
      <c r="B291" s="2"/>
      <c r="C291" s="3"/>
      <c r="S291" s="131"/>
      <c r="T291" s="131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1"/>
      <c r="AN291" s="1"/>
      <c r="AO291" s="1"/>
      <c r="AP291" s="1"/>
      <c r="AQ291" s="1"/>
      <c r="AR291" s="1"/>
      <c r="AS291" s="1"/>
      <c r="AT291" s="1"/>
      <c r="AU291" s="24"/>
      <c r="AV291" s="24"/>
      <c r="AW291" s="24"/>
      <c r="AX291" s="236"/>
      <c r="AY291" s="236"/>
      <c r="AZ291" s="236"/>
      <c r="BA291" s="236"/>
    </row>
    <row r="292" spans="1:53" s="51" customFormat="1" x14ac:dyDescent="0.2">
      <c r="A292" s="1"/>
      <c r="B292" s="2"/>
      <c r="C292" s="3"/>
      <c r="S292" s="131"/>
      <c r="T292" s="131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1"/>
      <c r="AN292" s="1"/>
      <c r="AO292" s="1"/>
      <c r="AP292" s="1"/>
      <c r="AQ292" s="1"/>
      <c r="AR292" s="1"/>
      <c r="AS292" s="1"/>
      <c r="AT292" s="1"/>
      <c r="AU292" s="24"/>
      <c r="AV292" s="24"/>
      <c r="AW292" s="24"/>
      <c r="AX292" s="236"/>
      <c r="AY292" s="236"/>
      <c r="AZ292" s="236"/>
      <c r="BA292" s="236"/>
    </row>
    <row r="293" spans="1:53" s="51" customFormat="1" x14ac:dyDescent="0.2">
      <c r="A293" s="1"/>
      <c r="B293" s="2"/>
      <c r="C293" s="3"/>
      <c r="S293" s="131"/>
      <c r="T293" s="131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1"/>
      <c r="AN293" s="1"/>
      <c r="AO293" s="1"/>
      <c r="AP293" s="1"/>
      <c r="AQ293" s="1"/>
      <c r="AR293" s="1"/>
      <c r="AS293" s="1"/>
      <c r="AT293" s="1"/>
      <c r="AU293" s="24"/>
      <c r="AV293" s="24"/>
      <c r="AW293" s="24"/>
      <c r="AX293" s="236"/>
      <c r="AY293" s="236"/>
      <c r="AZ293" s="236"/>
      <c r="BA293" s="236"/>
    </row>
    <row r="294" spans="1:53" s="51" customFormat="1" x14ac:dyDescent="0.2">
      <c r="A294" s="1"/>
      <c r="B294" s="2"/>
      <c r="C294" s="3"/>
      <c r="S294" s="131"/>
      <c r="T294" s="131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1"/>
      <c r="AN294" s="1"/>
      <c r="AO294" s="1"/>
      <c r="AP294" s="1"/>
      <c r="AQ294" s="1"/>
      <c r="AR294" s="1"/>
      <c r="AS294" s="1"/>
      <c r="AT294" s="1"/>
      <c r="AU294" s="24"/>
      <c r="AV294" s="24"/>
      <c r="AW294" s="24"/>
      <c r="AX294" s="236"/>
      <c r="AY294" s="236"/>
      <c r="AZ294" s="236"/>
      <c r="BA294" s="236"/>
    </row>
    <row r="295" spans="1:53" s="51" customFormat="1" x14ac:dyDescent="0.2">
      <c r="A295" s="1"/>
      <c r="B295" s="2"/>
      <c r="C295" s="3"/>
      <c r="S295" s="131"/>
      <c r="T295" s="131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1"/>
      <c r="AN295" s="1"/>
      <c r="AO295" s="1"/>
      <c r="AP295" s="1"/>
      <c r="AQ295" s="1"/>
      <c r="AR295" s="1"/>
      <c r="AS295" s="1"/>
      <c r="AT295" s="1"/>
      <c r="AU295" s="24"/>
      <c r="AV295" s="24"/>
      <c r="AW295" s="24"/>
      <c r="AX295" s="236"/>
      <c r="AY295" s="236"/>
      <c r="AZ295" s="236"/>
      <c r="BA295" s="236"/>
    </row>
    <row r="296" spans="1:53" s="51" customFormat="1" x14ac:dyDescent="0.2">
      <c r="A296" s="1"/>
      <c r="B296" s="2"/>
      <c r="C296" s="3"/>
      <c r="S296" s="131"/>
      <c r="T296" s="131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1"/>
      <c r="AN296" s="1"/>
      <c r="AO296" s="1"/>
      <c r="AP296" s="1"/>
      <c r="AQ296" s="1"/>
      <c r="AR296" s="1"/>
      <c r="AS296" s="1"/>
      <c r="AT296" s="1"/>
      <c r="AU296" s="24"/>
      <c r="AV296" s="24"/>
      <c r="AW296" s="24"/>
      <c r="AX296" s="236"/>
      <c r="AY296" s="236"/>
      <c r="AZ296" s="236"/>
      <c r="BA296" s="236"/>
    </row>
    <row r="297" spans="1:53" s="51" customFormat="1" x14ac:dyDescent="0.2">
      <c r="A297" s="1"/>
      <c r="B297" s="2"/>
      <c r="C297" s="3"/>
      <c r="S297" s="131"/>
      <c r="T297" s="131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1"/>
      <c r="AN297" s="1"/>
      <c r="AO297" s="1"/>
      <c r="AP297" s="1"/>
      <c r="AQ297" s="1"/>
      <c r="AR297" s="1"/>
      <c r="AS297" s="1"/>
      <c r="AT297" s="1"/>
      <c r="AU297" s="24"/>
      <c r="AV297" s="24"/>
      <c r="AW297" s="24"/>
      <c r="AX297" s="236"/>
      <c r="AY297" s="236"/>
      <c r="AZ297" s="236"/>
      <c r="BA297" s="236"/>
    </row>
    <row r="298" spans="1:53" s="51" customFormat="1" x14ac:dyDescent="0.2">
      <c r="A298" s="1"/>
      <c r="B298" s="2"/>
      <c r="C298" s="3"/>
      <c r="S298" s="131"/>
      <c r="T298" s="131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1"/>
      <c r="AN298" s="1"/>
      <c r="AO298" s="1"/>
      <c r="AP298" s="1"/>
      <c r="AQ298" s="1"/>
      <c r="AR298" s="1"/>
      <c r="AS298" s="1"/>
      <c r="AT298" s="1"/>
      <c r="AU298" s="24"/>
      <c r="AV298" s="24"/>
      <c r="AW298" s="24"/>
      <c r="AX298" s="236"/>
      <c r="AY298" s="236"/>
      <c r="AZ298" s="236"/>
      <c r="BA298" s="236"/>
    </row>
    <row r="299" spans="1:53" s="51" customFormat="1" x14ac:dyDescent="0.2">
      <c r="A299" s="1"/>
      <c r="B299" s="2"/>
      <c r="C299" s="3"/>
      <c r="S299" s="131"/>
      <c r="T299" s="131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1"/>
      <c r="AN299" s="1"/>
      <c r="AO299" s="1"/>
      <c r="AP299" s="1"/>
      <c r="AQ299" s="1"/>
      <c r="AR299" s="1"/>
      <c r="AS299" s="1"/>
      <c r="AT299" s="1"/>
      <c r="AU299" s="24"/>
      <c r="AV299" s="24"/>
      <c r="AW299" s="24"/>
      <c r="AX299" s="236"/>
      <c r="AY299" s="236"/>
      <c r="AZ299" s="236"/>
      <c r="BA299" s="236"/>
    </row>
    <row r="300" spans="1:53" s="51" customFormat="1" x14ac:dyDescent="0.2">
      <c r="A300" s="1"/>
      <c r="B300" s="2"/>
      <c r="C300" s="3"/>
      <c r="S300" s="131"/>
      <c r="T300" s="131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1"/>
      <c r="AN300" s="1"/>
      <c r="AO300" s="1"/>
      <c r="AP300" s="1"/>
      <c r="AQ300" s="1"/>
      <c r="AR300" s="1"/>
      <c r="AS300" s="1"/>
      <c r="AT300" s="1"/>
      <c r="AU300" s="24"/>
      <c r="AV300" s="24"/>
      <c r="AW300" s="24"/>
      <c r="AX300" s="236"/>
      <c r="AY300" s="236"/>
      <c r="AZ300" s="236"/>
      <c r="BA300" s="236"/>
    </row>
    <row r="301" spans="1:53" s="51" customFormat="1" x14ac:dyDescent="0.2">
      <c r="A301" s="1"/>
      <c r="B301" s="2"/>
      <c r="C301" s="3"/>
      <c r="S301" s="131"/>
      <c r="T301" s="131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1"/>
      <c r="AN301" s="1"/>
      <c r="AO301" s="1"/>
      <c r="AP301" s="1"/>
      <c r="AQ301" s="1"/>
      <c r="AR301" s="1"/>
      <c r="AS301" s="1"/>
      <c r="AT301" s="1"/>
      <c r="AU301" s="24"/>
      <c r="AV301" s="24"/>
      <c r="AW301" s="24"/>
      <c r="AX301" s="236"/>
      <c r="AY301" s="236"/>
      <c r="AZ301" s="236"/>
      <c r="BA301" s="236"/>
    </row>
    <row r="302" spans="1:53" s="51" customFormat="1" x14ac:dyDescent="0.2">
      <c r="A302" s="1"/>
      <c r="B302" s="2"/>
      <c r="C302" s="3"/>
      <c r="S302" s="131"/>
      <c r="T302" s="131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1"/>
      <c r="AN302" s="1"/>
      <c r="AO302" s="1"/>
      <c r="AP302" s="1"/>
      <c r="AQ302" s="1"/>
      <c r="AR302" s="1"/>
      <c r="AS302" s="1"/>
      <c r="AT302" s="1"/>
      <c r="AU302" s="24"/>
      <c r="AV302" s="24"/>
      <c r="AW302" s="24"/>
      <c r="AX302" s="236"/>
      <c r="AY302" s="236"/>
      <c r="AZ302" s="236"/>
      <c r="BA302" s="236"/>
    </row>
    <row r="303" spans="1:53" s="51" customFormat="1" x14ac:dyDescent="0.2">
      <c r="A303" s="1"/>
      <c r="B303" s="2"/>
      <c r="C303" s="3"/>
      <c r="S303" s="131"/>
      <c r="T303" s="131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1"/>
      <c r="AN303" s="1"/>
      <c r="AO303" s="1"/>
      <c r="AP303" s="1"/>
      <c r="AQ303" s="1"/>
      <c r="AR303" s="1"/>
      <c r="AS303" s="1"/>
      <c r="AT303" s="1"/>
      <c r="AU303" s="24"/>
      <c r="AV303" s="24"/>
      <c r="AW303" s="24"/>
      <c r="AX303" s="236"/>
      <c r="AY303" s="236"/>
      <c r="AZ303" s="236"/>
      <c r="BA303" s="236"/>
    </row>
    <row r="304" spans="1:53" s="51" customFormat="1" x14ac:dyDescent="0.2">
      <c r="A304" s="1"/>
      <c r="B304" s="2"/>
      <c r="C304" s="3"/>
      <c r="S304" s="131"/>
      <c r="T304" s="131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1"/>
      <c r="AN304" s="1"/>
      <c r="AO304" s="1"/>
      <c r="AP304" s="1"/>
      <c r="AQ304" s="1"/>
      <c r="AR304" s="1"/>
      <c r="AS304" s="1"/>
      <c r="AT304" s="1"/>
      <c r="AU304" s="24"/>
      <c r="AV304" s="24"/>
      <c r="AW304" s="24"/>
      <c r="AX304" s="236"/>
      <c r="AY304" s="236"/>
      <c r="AZ304" s="236"/>
      <c r="BA304" s="236"/>
    </row>
    <row r="305" spans="1:53" s="51" customFormat="1" x14ac:dyDescent="0.2">
      <c r="A305" s="1"/>
      <c r="B305" s="2"/>
      <c r="C305" s="3"/>
      <c r="S305" s="131"/>
      <c r="T305" s="131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1"/>
      <c r="AN305" s="1"/>
      <c r="AO305" s="1"/>
      <c r="AP305" s="1"/>
      <c r="AQ305" s="1"/>
      <c r="AR305" s="1"/>
      <c r="AS305" s="1"/>
      <c r="AT305" s="1"/>
      <c r="AU305" s="24"/>
      <c r="AV305" s="24"/>
      <c r="AW305" s="24"/>
      <c r="AX305" s="236"/>
      <c r="AY305" s="236"/>
      <c r="AZ305" s="236"/>
      <c r="BA305" s="236"/>
    </row>
    <row r="306" spans="1:53" s="51" customFormat="1" x14ac:dyDescent="0.2">
      <c r="A306" s="1"/>
      <c r="B306" s="2"/>
      <c r="C306" s="3"/>
      <c r="S306" s="131"/>
      <c r="T306" s="131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1"/>
      <c r="AN306" s="1"/>
      <c r="AO306" s="1"/>
      <c r="AP306" s="1"/>
      <c r="AQ306" s="1"/>
      <c r="AR306" s="1"/>
      <c r="AS306" s="1"/>
      <c r="AT306" s="1"/>
      <c r="AU306" s="24"/>
      <c r="AV306" s="24"/>
      <c r="AW306" s="24"/>
      <c r="AX306" s="236"/>
      <c r="AY306" s="236"/>
      <c r="AZ306" s="236"/>
      <c r="BA306" s="236"/>
    </row>
    <row r="307" spans="1:53" s="51" customFormat="1" x14ac:dyDescent="0.2">
      <c r="A307" s="1"/>
      <c r="B307" s="2"/>
      <c r="C307" s="3"/>
      <c r="S307" s="131"/>
      <c r="T307" s="131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1"/>
      <c r="AN307" s="1"/>
      <c r="AO307" s="1"/>
      <c r="AP307" s="1"/>
      <c r="AQ307" s="1"/>
      <c r="AR307" s="1"/>
      <c r="AS307" s="1"/>
      <c r="AT307" s="1"/>
      <c r="AU307" s="24"/>
      <c r="AV307" s="24"/>
      <c r="AW307" s="24"/>
      <c r="AX307" s="236"/>
      <c r="AY307" s="236"/>
      <c r="AZ307" s="236"/>
      <c r="BA307" s="236"/>
    </row>
    <row r="308" spans="1:53" s="51" customFormat="1" x14ac:dyDescent="0.2">
      <c r="A308" s="1"/>
      <c r="B308" s="2"/>
      <c r="C308" s="3"/>
      <c r="S308" s="131"/>
      <c r="T308" s="131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1"/>
      <c r="AN308" s="1"/>
      <c r="AO308" s="1"/>
      <c r="AP308" s="1"/>
      <c r="AQ308" s="1"/>
      <c r="AR308" s="1"/>
      <c r="AS308" s="1"/>
      <c r="AT308" s="1"/>
      <c r="AU308" s="24"/>
      <c r="AV308" s="24"/>
      <c r="AW308" s="24"/>
      <c r="AX308" s="236"/>
      <c r="AY308" s="236"/>
      <c r="AZ308" s="236"/>
      <c r="BA308" s="236"/>
    </row>
    <row r="309" spans="1:53" s="51" customFormat="1" x14ac:dyDescent="0.2">
      <c r="A309" s="1"/>
      <c r="B309" s="2"/>
      <c r="C309" s="3"/>
      <c r="S309" s="131"/>
      <c r="T309" s="131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1"/>
      <c r="AN309" s="1"/>
      <c r="AO309" s="1"/>
      <c r="AP309" s="1"/>
      <c r="AQ309" s="1"/>
      <c r="AR309" s="1"/>
      <c r="AS309" s="1"/>
      <c r="AT309" s="1"/>
      <c r="AU309" s="24"/>
      <c r="AV309" s="24"/>
      <c r="AW309" s="24"/>
      <c r="AX309" s="236"/>
      <c r="AY309" s="236"/>
      <c r="AZ309" s="236"/>
      <c r="BA309" s="236"/>
    </row>
    <row r="310" spans="1:53" s="51" customFormat="1" x14ac:dyDescent="0.2">
      <c r="A310" s="1"/>
      <c r="B310" s="2"/>
      <c r="C310" s="3"/>
      <c r="S310" s="131"/>
      <c r="T310" s="131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1"/>
      <c r="AN310" s="1"/>
      <c r="AO310" s="1"/>
      <c r="AP310" s="1"/>
      <c r="AQ310" s="1"/>
      <c r="AR310" s="1"/>
      <c r="AS310" s="1"/>
      <c r="AT310" s="1"/>
      <c r="AU310" s="24"/>
      <c r="AV310" s="24"/>
      <c r="AW310" s="24"/>
      <c r="AX310" s="236"/>
      <c r="AY310" s="236"/>
      <c r="AZ310" s="236"/>
      <c r="BA310" s="236"/>
    </row>
    <row r="311" spans="1:53" s="51" customFormat="1" x14ac:dyDescent="0.2">
      <c r="A311" s="1"/>
      <c r="B311" s="2"/>
      <c r="C311" s="3"/>
      <c r="S311" s="131"/>
      <c r="T311" s="131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1"/>
      <c r="AN311" s="1"/>
      <c r="AO311" s="1"/>
      <c r="AP311" s="1"/>
      <c r="AQ311" s="1"/>
      <c r="AR311" s="1"/>
      <c r="AS311" s="1"/>
      <c r="AT311" s="1"/>
      <c r="AU311" s="24"/>
      <c r="AV311" s="24"/>
      <c r="AW311" s="24"/>
      <c r="AX311" s="236"/>
      <c r="AY311" s="236"/>
      <c r="AZ311" s="236"/>
      <c r="BA311" s="236"/>
    </row>
    <row r="312" spans="1:53" s="51" customFormat="1" x14ac:dyDescent="0.2">
      <c r="A312" s="1"/>
      <c r="B312" s="2"/>
      <c r="C312" s="3"/>
      <c r="S312" s="131"/>
      <c r="T312" s="131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  <c r="AM312" s="1"/>
      <c r="AN312" s="1"/>
      <c r="AO312" s="1"/>
      <c r="AP312" s="1"/>
      <c r="AQ312" s="1"/>
      <c r="AR312" s="1"/>
      <c r="AS312" s="1"/>
      <c r="AT312" s="1"/>
      <c r="AU312" s="24"/>
      <c r="AV312" s="24"/>
      <c r="AW312" s="24"/>
      <c r="AX312" s="236"/>
      <c r="AY312" s="236"/>
      <c r="AZ312" s="236"/>
      <c r="BA312" s="236"/>
    </row>
    <row r="313" spans="1:53" s="51" customFormat="1" x14ac:dyDescent="0.2">
      <c r="A313" s="1"/>
      <c r="B313" s="2"/>
      <c r="C313" s="3"/>
      <c r="S313" s="131"/>
      <c r="T313" s="131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1"/>
      <c r="AN313" s="1"/>
      <c r="AO313" s="1"/>
      <c r="AP313" s="1"/>
      <c r="AQ313" s="1"/>
      <c r="AR313" s="1"/>
      <c r="AS313" s="1"/>
      <c r="AT313" s="1"/>
      <c r="AU313" s="24"/>
      <c r="AV313" s="24"/>
      <c r="AW313" s="24"/>
      <c r="AX313" s="236"/>
      <c r="AY313" s="236"/>
      <c r="AZ313" s="236"/>
      <c r="BA313" s="236"/>
    </row>
    <row r="314" spans="1:53" s="51" customFormat="1" x14ac:dyDescent="0.2">
      <c r="A314" s="1"/>
      <c r="B314" s="2"/>
      <c r="C314" s="3"/>
      <c r="S314" s="131"/>
      <c r="T314" s="131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1"/>
      <c r="AN314" s="1"/>
      <c r="AO314" s="1"/>
      <c r="AP314" s="1"/>
      <c r="AQ314" s="1"/>
      <c r="AR314" s="1"/>
      <c r="AS314" s="1"/>
      <c r="AT314" s="1"/>
      <c r="AU314" s="24"/>
      <c r="AV314" s="24"/>
      <c r="AW314" s="24"/>
      <c r="AX314" s="236"/>
      <c r="AY314" s="236"/>
      <c r="AZ314" s="236"/>
      <c r="BA314" s="236"/>
    </row>
    <row r="315" spans="1:53" s="51" customFormat="1" x14ac:dyDescent="0.2">
      <c r="A315" s="1"/>
      <c r="B315" s="2"/>
      <c r="C315" s="3"/>
      <c r="S315" s="131"/>
      <c r="T315" s="131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  <c r="AM315" s="1"/>
      <c r="AN315" s="1"/>
      <c r="AO315" s="1"/>
      <c r="AP315" s="1"/>
      <c r="AQ315" s="1"/>
      <c r="AR315" s="1"/>
      <c r="AS315" s="1"/>
      <c r="AT315" s="1"/>
      <c r="AU315" s="24"/>
      <c r="AV315" s="24"/>
      <c r="AW315" s="24"/>
      <c r="AX315" s="236"/>
      <c r="AY315" s="236"/>
      <c r="AZ315" s="236"/>
      <c r="BA315" s="236"/>
    </row>
    <row r="316" spans="1:53" s="51" customFormat="1" x14ac:dyDescent="0.2">
      <c r="A316" s="1"/>
      <c r="B316" s="2"/>
      <c r="C316" s="3"/>
      <c r="S316" s="131"/>
      <c r="T316" s="131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1"/>
      <c r="AN316" s="1"/>
      <c r="AO316" s="1"/>
      <c r="AP316" s="1"/>
      <c r="AQ316" s="1"/>
      <c r="AR316" s="1"/>
      <c r="AS316" s="1"/>
      <c r="AT316" s="1"/>
      <c r="AU316" s="24"/>
      <c r="AV316" s="24"/>
      <c r="AW316" s="24"/>
      <c r="AX316" s="236"/>
      <c r="AY316" s="236"/>
      <c r="AZ316" s="236"/>
      <c r="BA316" s="236"/>
    </row>
    <row r="317" spans="1:53" s="51" customFormat="1" x14ac:dyDescent="0.2">
      <c r="A317" s="1"/>
      <c r="B317" s="2"/>
      <c r="C317" s="3"/>
      <c r="S317" s="131"/>
      <c r="T317" s="131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1"/>
      <c r="AN317" s="1"/>
      <c r="AO317" s="1"/>
      <c r="AP317" s="1"/>
      <c r="AQ317" s="1"/>
      <c r="AR317" s="1"/>
      <c r="AS317" s="1"/>
      <c r="AT317" s="1"/>
      <c r="AU317" s="24"/>
      <c r="AV317" s="24"/>
      <c r="AW317" s="24"/>
      <c r="AX317" s="236"/>
      <c r="AY317" s="236"/>
      <c r="AZ317" s="236"/>
      <c r="BA317" s="236"/>
    </row>
    <row r="318" spans="1:53" s="51" customFormat="1" x14ac:dyDescent="0.2">
      <c r="A318" s="1"/>
      <c r="B318" s="2"/>
      <c r="C318" s="3"/>
      <c r="S318" s="131"/>
      <c r="T318" s="131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  <c r="AL318" s="23"/>
      <c r="AM318" s="1"/>
      <c r="AN318" s="1"/>
      <c r="AO318" s="1"/>
      <c r="AP318" s="1"/>
      <c r="AQ318" s="1"/>
      <c r="AR318" s="1"/>
      <c r="AS318" s="1"/>
      <c r="AT318" s="1"/>
      <c r="AU318" s="24"/>
      <c r="AV318" s="24"/>
      <c r="AW318" s="24"/>
      <c r="AX318" s="236"/>
      <c r="AY318" s="236"/>
      <c r="AZ318" s="236"/>
      <c r="BA318" s="236"/>
    </row>
    <row r="319" spans="1:53" s="51" customFormat="1" x14ac:dyDescent="0.2">
      <c r="A319" s="1"/>
      <c r="B319" s="2"/>
      <c r="C319" s="3"/>
      <c r="S319" s="131"/>
      <c r="T319" s="131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  <c r="AM319" s="1"/>
      <c r="AN319" s="1"/>
      <c r="AO319" s="1"/>
      <c r="AP319" s="1"/>
      <c r="AQ319" s="1"/>
      <c r="AR319" s="1"/>
      <c r="AS319" s="1"/>
      <c r="AT319" s="1"/>
      <c r="AU319" s="24"/>
      <c r="AV319" s="24"/>
      <c r="AW319" s="24"/>
      <c r="AX319" s="236"/>
      <c r="AY319" s="236"/>
      <c r="AZ319" s="236"/>
      <c r="BA319" s="236"/>
    </row>
    <row r="320" spans="1:53" s="51" customFormat="1" x14ac:dyDescent="0.2">
      <c r="A320" s="1"/>
      <c r="B320" s="2"/>
      <c r="C320" s="3"/>
      <c r="S320" s="131"/>
      <c r="T320" s="131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  <c r="AM320" s="1"/>
      <c r="AN320" s="1"/>
      <c r="AO320" s="1"/>
      <c r="AP320" s="1"/>
      <c r="AQ320" s="1"/>
      <c r="AR320" s="1"/>
      <c r="AS320" s="1"/>
      <c r="AT320" s="1"/>
      <c r="AU320" s="24"/>
      <c r="AV320" s="24"/>
      <c r="AW320" s="24"/>
      <c r="AX320" s="236"/>
      <c r="AY320" s="236"/>
      <c r="AZ320" s="236"/>
      <c r="BA320" s="236"/>
    </row>
    <row r="321" spans="1:53" s="51" customFormat="1" x14ac:dyDescent="0.2">
      <c r="A321" s="1"/>
      <c r="B321" s="2"/>
      <c r="C321" s="3"/>
      <c r="S321" s="131"/>
      <c r="T321" s="131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  <c r="AM321" s="1"/>
      <c r="AN321" s="1"/>
      <c r="AO321" s="1"/>
      <c r="AP321" s="1"/>
      <c r="AQ321" s="1"/>
      <c r="AR321" s="1"/>
      <c r="AS321" s="1"/>
      <c r="AT321" s="1"/>
      <c r="AU321" s="24"/>
      <c r="AV321" s="24"/>
      <c r="AW321" s="24"/>
      <c r="AX321" s="236"/>
      <c r="AY321" s="236"/>
      <c r="AZ321" s="236"/>
      <c r="BA321" s="236"/>
    </row>
    <row r="322" spans="1:53" s="51" customFormat="1" x14ac:dyDescent="0.2">
      <c r="A322" s="1"/>
      <c r="B322" s="2"/>
      <c r="C322" s="3"/>
      <c r="S322" s="131"/>
      <c r="T322" s="131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  <c r="AM322" s="1"/>
      <c r="AN322" s="1"/>
      <c r="AO322" s="1"/>
      <c r="AP322" s="1"/>
      <c r="AQ322" s="1"/>
      <c r="AR322" s="1"/>
      <c r="AS322" s="1"/>
      <c r="AT322" s="1"/>
      <c r="AU322" s="24"/>
      <c r="AV322" s="24"/>
      <c r="AW322" s="24"/>
      <c r="AX322" s="236"/>
      <c r="AY322" s="236"/>
      <c r="AZ322" s="236"/>
      <c r="BA322" s="236"/>
    </row>
    <row r="323" spans="1:53" s="51" customFormat="1" x14ac:dyDescent="0.2">
      <c r="A323" s="1"/>
      <c r="B323" s="2"/>
      <c r="C323" s="3"/>
      <c r="S323" s="131"/>
      <c r="T323" s="131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3"/>
      <c r="AM323" s="1"/>
      <c r="AN323" s="1"/>
      <c r="AO323" s="1"/>
      <c r="AP323" s="1"/>
      <c r="AQ323" s="1"/>
      <c r="AR323" s="1"/>
      <c r="AS323" s="1"/>
      <c r="AT323" s="1"/>
      <c r="AU323" s="24"/>
      <c r="AV323" s="24"/>
      <c r="AW323" s="24"/>
      <c r="AX323" s="236"/>
      <c r="AY323" s="236"/>
      <c r="AZ323" s="236"/>
      <c r="BA323" s="236"/>
    </row>
    <row r="324" spans="1:53" s="51" customFormat="1" x14ac:dyDescent="0.2">
      <c r="A324" s="1"/>
      <c r="B324" s="2"/>
      <c r="C324" s="3"/>
      <c r="S324" s="131"/>
      <c r="T324" s="131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  <c r="AM324" s="1"/>
      <c r="AN324" s="1"/>
      <c r="AO324" s="1"/>
      <c r="AP324" s="1"/>
      <c r="AQ324" s="1"/>
      <c r="AR324" s="1"/>
      <c r="AS324" s="1"/>
      <c r="AT324" s="1"/>
      <c r="AU324" s="24"/>
      <c r="AV324" s="24"/>
      <c r="AW324" s="24"/>
      <c r="AX324" s="236"/>
      <c r="AY324" s="236"/>
      <c r="AZ324" s="236"/>
      <c r="BA324" s="236"/>
    </row>
    <row r="325" spans="1:53" s="51" customFormat="1" x14ac:dyDescent="0.2">
      <c r="A325" s="1"/>
      <c r="B325" s="2"/>
      <c r="C325" s="3"/>
      <c r="S325" s="131"/>
      <c r="T325" s="131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  <c r="AM325" s="1"/>
      <c r="AN325" s="1"/>
      <c r="AO325" s="1"/>
      <c r="AP325" s="1"/>
      <c r="AQ325" s="1"/>
      <c r="AR325" s="1"/>
      <c r="AS325" s="1"/>
      <c r="AT325" s="1"/>
      <c r="AU325" s="24"/>
      <c r="AV325" s="24"/>
      <c r="AW325" s="24"/>
      <c r="AX325" s="236"/>
      <c r="AY325" s="236"/>
      <c r="AZ325" s="236"/>
      <c r="BA325" s="236"/>
    </row>
    <row r="326" spans="1:53" s="51" customFormat="1" x14ac:dyDescent="0.2">
      <c r="A326" s="1"/>
      <c r="B326" s="2"/>
      <c r="C326" s="3"/>
      <c r="S326" s="131"/>
      <c r="T326" s="131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  <c r="AL326" s="23"/>
      <c r="AM326" s="1"/>
      <c r="AN326" s="1"/>
      <c r="AO326" s="1"/>
      <c r="AP326" s="1"/>
      <c r="AQ326" s="1"/>
      <c r="AR326" s="1"/>
      <c r="AS326" s="1"/>
      <c r="AT326" s="1"/>
      <c r="AU326" s="24"/>
      <c r="AV326" s="24"/>
      <c r="AW326" s="24"/>
      <c r="AX326" s="236"/>
      <c r="AY326" s="236"/>
      <c r="AZ326" s="236"/>
      <c r="BA326" s="236"/>
    </row>
    <row r="327" spans="1:53" s="51" customFormat="1" x14ac:dyDescent="0.2">
      <c r="A327" s="1"/>
      <c r="B327" s="2"/>
      <c r="C327" s="3"/>
      <c r="S327" s="131"/>
      <c r="T327" s="131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  <c r="AM327" s="1"/>
      <c r="AN327" s="1"/>
      <c r="AO327" s="1"/>
      <c r="AP327" s="1"/>
      <c r="AQ327" s="1"/>
      <c r="AR327" s="1"/>
      <c r="AS327" s="1"/>
      <c r="AT327" s="1"/>
      <c r="AU327" s="24"/>
      <c r="AV327" s="24"/>
      <c r="AW327" s="24"/>
      <c r="AX327" s="236"/>
      <c r="AY327" s="236"/>
      <c r="AZ327" s="236"/>
      <c r="BA327" s="236"/>
    </row>
    <row r="328" spans="1:53" s="51" customFormat="1" x14ac:dyDescent="0.2">
      <c r="A328" s="1"/>
      <c r="B328" s="2"/>
      <c r="C328" s="3"/>
      <c r="S328" s="131"/>
      <c r="T328" s="131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  <c r="AM328" s="1"/>
      <c r="AN328" s="1"/>
      <c r="AO328" s="1"/>
      <c r="AP328" s="1"/>
      <c r="AQ328" s="1"/>
      <c r="AR328" s="1"/>
      <c r="AS328" s="1"/>
      <c r="AT328" s="1"/>
      <c r="AU328" s="24"/>
      <c r="AV328" s="24"/>
      <c r="AW328" s="24"/>
      <c r="AX328" s="236"/>
      <c r="AY328" s="236"/>
      <c r="AZ328" s="236"/>
      <c r="BA328" s="236"/>
    </row>
    <row r="329" spans="1:53" s="51" customFormat="1" x14ac:dyDescent="0.2">
      <c r="A329" s="1"/>
      <c r="B329" s="2"/>
      <c r="C329" s="3"/>
      <c r="S329" s="131"/>
      <c r="T329" s="131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  <c r="AL329" s="23"/>
      <c r="AM329" s="1"/>
      <c r="AN329" s="1"/>
      <c r="AO329" s="1"/>
      <c r="AP329" s="1"/>
      <c r="AQ329" s="1"/>
      <c r="AR329" s="1"/>
      <c r="AS329" s="1"/>
      <c r="AT329" s="1"/>
      <c r="AU329" s="24"/>
      <c r="AV329" s="24"/>
      <c r="AW329" s="24"/>
      <c r="AX329" s="236"/>
      <c r="AY329" s="236"/>
      <c r="AZ329" s="236"/>
      <c r="BA329" s="236"/>
    </row>
    <row r="330" spans="1:53" s="51" customFormat="1" x14ac:dyDescent="0.2">
      <c r="A330" s="1"/>
      <c r="B330" s="2"/>
      <c r="C330" s="3"/>
      <c r="S330" s="131"/>
      <c r="T330" s="131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  <c r="AL330" s="23"/>
      <c r="AM330" s="1"/>
      <c r="AN330" s="1"/>
      <c r="AO330" s="1"/>
      <c r="AP330" s="1"/>
      <c r="AQ330" s="1"/>
      <c r="AR330" s="1"/>
      <c r="AS330" s="1"/>
      <c r="AT330" s="1"/>
      <c r="AU330" s="24"/>
      <c r="AV330" s="24"/>
      <c r="AW330" s="24"/>
      <c r="AX330" s="236"/>
      <c r="AY330" s="236"/>
      <c r="AZ330" s="236"/>
      <c r="BA330" s="236"/>
    </row>
    <row r="331" spans="1:53" s="51" customFormat="1" x14ac:dyDescent="0.2">
      <c r="A331" s="1"/>
      <c r="B331" s="2"/>
      <c r="C331" s="3"/>
      <c r="S331" s="131"/>
      <c r="T331" s="131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3"/>
      <c r="AM331" s="1"/>
      <c r="AN331" s="1"/>
      <c r="AO331" s="1"/>
      <c r="AP331" s="1"/>
      <c r="AQ331" s="1"/>
      <c r="AR331" s="1"/>
      <c r="AS331" s="1"/>
      <c r="AT331" s="1"/>
      <c r="AU331" s="24"/>
      <c r="AV331" s="24"/>
      <c r="AW331" s="24"/>
      <c r="AX331" s="236"/>
      <c r="AY331" s="236"/>
      <c r="AZ331" s="236"/>
      <c r="BA331" s="236"/>
    </row>
    <row r="332" spans="1:53" s="51" customFormat="1" x14ac:dyDescent="0.2">
      <c r="A332" s="1"/>
      <c r="B332" s="2"/>
      <c r="C332" s="3"/>
      <c r="S332" s="131"/>
      <c r="T332" s="131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  <c r="AL332" s="23"/>
      <c r="AM332" s="1"/>
      <c r="AN332" s="1"/>
      <c r="AO332" s="1"/>
      <c r="AP332" s="1"/>
      <c r="AQ332" s="1"/>
      <c r="AR332" s="1"/>
      <c r="AS332" s="1"/>
      <c r="AT332" s="1"/>
      <c r="AU332" s="24"/>
      <c r="AV332" s="24"/>
      <c r="AW332" s="24"/>
      <c r="AX332" s="236"/>
      <c r="AY332" s="236"/>
      <c r="AZ332" s="236"/>
      <c r="BA332" s="236"/>
    </row>
    <row r="333" spans="1:53" s="51" customFormat="1" x14ac:dyDescent="0.2">
      <c r="A333" s="1"/>
      <c r="B333" s="2"/>
      <c r="C333" s="3"/>
      <c r="S333" s="131"/>
      <c r="T333" s="131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  <c r="AL333" s="23"/>
      <c r="AM333" s="1"/>
      <c r="AN333" s="1"/>
      <c r="AO333" s="1"/>
      <c r="AP333" s="1"/>
      <c r="AQ333" s="1"/>
      <c r="AR333" s="1"/>
      <c r="AS333" s="1"/>
      <c r="AT333" s="1"/>
      <c r="AU333" s="24"/>
      <c r="AV333" s="24"/>
      <c r="AW333" s="24"/>
      <c r="AX333" s="236"/>
      <c r="AY333" s="236"/>
      <c r="AZ333" s="236"/>
      <c r="BA333" s="236"/>
    </row>
    <row r="334" spans="1:53" s="51" customFormat="1" x14ac:dyDescent="0.2">
      <c r="A334" s="1"/>
      <c r="B334" s="2"/>
      <c r="C334" s="3"/>
      <c r="S334" s="131"/>
      <c r="T334" s="131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  <c r="AL334" s="23"/>
      <c r="AM334" s="1"/>
      <c r="AN334" s="1"/>
      <c r="AO334" s="1"/>
      <c r="AP334" s="1"/>
      <c r="AQ334" s="1"/>
      <c r="AR334" s="1"/>
      <c r="AS334" s="1"/>
      <c r="AT334" s="1"/>
      <c r="AU334" s="24"/>
      <c r="AV334" s="24"/>
      <c r="AW334" s="24"/>
      <c r="AX334" s="236"/>
      <c r="AY334" s="236"/>
      <c r="AZ334" s="236"/>
      <c r="BA334" s="236"/>
    </row>
    <row r="335" spans="1:53" s="51" customFormat="1" x14ac:dyDescent="0.2">
      <c r="A335" s="1"/>
      <c r="B335" s="2"/>
      <c r="C335" s="3"/>
      <c r="S335" s="131"/>
      <c r="T335" s="131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  <c r="AM335" s="1"/>
      <c r="AN335" s="1"/>
      <c r="AO335" s="1"/>
      <c r="AP335" s="1"/>
      <c r="AQ335" s="1"/>
      <c r="AR335" s="1"/>
      <c r="AS335" s="1"/>
      <c r="AT335" s="1"/>
      <c r="AU335" s="24"/>
      <c r="AV335" s="24"/>
      <c r="AW335" s="24"/>
      <c r="AX335" s="236"/>
      <c r="AY335" s="236"/>
      <c r="AZ335" s="236"/>
      <c r="BA335" s="236"/>
    </row>
    <row r="336" spans="1:53" s="51" customFormat="1" x14ac:dyDescent="0.2">
      <c r="A336" s="1"/>
      <c r="B336" s="2"/>
      <c r="C336" s="3"/>
      <c r="S336" s="131"/>
      <c r="T336" s="131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3"/>
      <c r="AM336" s="1"/>
      <c r="AN336" s="1"/>
      <c r="AO336" s="1"/>
      <c r="AP336" s="1"/>
      <c r="AQ336" s="1"/>
      <c r="AR336" s="1"/>
      <c r="AS336" s="1"/>
      <c r="AT336" s="1"/>
      <c r="AU336" s="24"/>
      <c r="AV336" s="24"/>
      <c r="AW336" s="24"/>
      <c r="AX336" s="236"/>
      <c r="AY336" s="236"/>
      <c r="AZ336" s="236"/>
      <c r="BA336" s="236"/>
    </row>
    <row r="337" spans="1:53" s="51" customFormat="1" x14ac:dyDescent="0.2">
      <c r="A337" s="1"/>
      <c r="B337" s="2"/>
      <c r="C337" s="3"/>
      <c r="S337" s="131"/>
      <c r="T337" s="131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  <c r="AM337" s="1"/>
      <c r="AN337" s="1"/>
      <c r="AO337" s="1"/>
      <c r="AP337" s="1"/>
      <c r="AQ337" s="1"/>
      <c r="AR337" s="1"/>
      <c r="AS337" s="1"/>
      <c r="AT337" s="1"/>
      <c r="AU337" s="24"/>
      <c r="AV337" s="24"/>
      <c r="AW337" s="24"/>
      <c r="AX337" s="236"/>
      <c r="AY337" s="236"/>
      <c r="AZ337" s="236"/>
      <c r="BA337" s="236"/>
    </row>
    <row r="338" spans="1:53" s="51" customFormat="1" x14ac:dyDescent="0.2">
      <c r="A338" s="1"/>
      <c r="B338" s="2"/>
      <c r="C338" s="3"/>
      <c r="S338" s="131"/>
      <c r="T338" s="131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  <c r="AL338" s="23"/>
      <c r="AM338" s="1"/>
      <c r="AN338" s="1"/>
      <c r="AO338" s="1"/>
      <c r="AP338" s="1"/>
      <c r="AQ338" s="1"/>
      <c r="AR338" s="1"/>
      <c r="AS338" s="1"/>
      <c r="AT338" s="1"/>
      <c r="AU338" s="24"/>
      <c r="AV338" s="24"/>
      <c r="AW338" s="24"/>
      <c r="AX338" s="236"/>
      <c r="AY338" s="236"/>
      <c r="AZ338" s="236"/>
      <c r="BA338" s="236"/>
    </row>
    <row r="339" spans="1:53" s="51" customFormat="1" x14ac:dyDescent="0.2">
      <c r="A339" s="1"/>
      <c r="B339" s="2"/>
      <c r="C339" s="3"/>
      <c r="S339" s="131"/>
      <c r="T339" s="131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3"/>
      <c r="AL339" s="23"/>
      <c r="AM339" s="1"/>
      <c r="AN339" s="1"/>
      <c r="AO339" s="1"/>
      <c r="AP339" s="1"/>
      <c r="AQ339" s="1"/>
      <c r="AR339" s="1"/>
      <c r="AS339" s="1"/>
      <c r="AT339" s="1"/>
      <c r="AU339" s="24"/>
      <c r="AV339" s="24"/>
      <c r="AW339" s="24"/>
      <c r="AX339" s="236"/>
      <c r="AY339" s="236"/>
      <c r="AZ339" s="236"/>
      <c r="BA339" s="236"/>
    </row>
    <row r="340" spans="1:53" s="51" customFormat="1" x14ac:dyDescent="0.2">
      <c r="A340" s="1"/>
      <c r="B340" s="2"/>
      <c r="C340" s="3"/>
      <c r="S340" s="131"/>
      <c r="T340" s="131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  <c r="AK340" s="23"/>
      <c r="AL340" s="23"/>
      <c r="AM340" s="1"/>
      <c r="AN340" s="1"/>
      <c r="AO340" s="1"/>
      <c r="AP340" s="1"/>
      <c r="AQ340" s="1"/>
      <c r="AR340" s="1"/>
      <c r="AS340" s="1"/>
      <c r="AT340" s="1"/>
      <c r="AU340" s="24"/>
      <c r="AV340" s="24"/>
      <c r="AW340" s="24"/>
      <c r="AX340" s="236"/>
      <c r="AY340" s="236"/>
      <c r="AZ340" s="236"/>
      <c r="BA340" s="236"/>
    </row>
    <row r="341" spans="1:53" s="51" customFormat="1" x14ac:dyDescent="0.2">
      <c r="A341" s="1"/>
      <c r="B341" s="2"/>
      <c r="C341" s="3"/>
      <c r="S341" s="131"/>
      <c r="T341" s="131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  <c r="AK341" s="23"/>
      <c r="AL341" s="23"/>
      <c r="AM341" s="1"/>
      <c r="AN341" s="1"/>
      <c r="AO341" s="1"/>
      <c r="AP341" s="1"/>
      <c r="AQ341" s="1"/>
      <c r="AR341" s="1"/>
      <c r="AS341" s="1"/>
      <c r="AT341" s="1"/>
      <c r="AU341" s="24"/>
      <c r="AV341" s="24"/>
      <c r="AW341" s="24"/>
      <c r="AX341" s="236"/>
      <c r="AY341" s="236"/>
      <c r="AZ341" s="236"/>
      <c r="BA341" s="236"/>
    </row>
    <row r="342" spans="1:53" s="51" customFormat="1" x14ac:dyDescent="0.2">
      <c r="A342" s="1"/>
      <c r="B342" s="2"/>
      <c r="C342" s="3"/>
      <c r="S342" s="131"/>
      <c r="T342" s="131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  <c r="AK342" s="23"/>
      <c r="AL342" s="23"/>
      <c r="AM342" s="1"/>
      <c r="AN342" s="1"/>
      <c r="AO342" s="1"/>
      <c r="AP342" s="1"/>
      <c r="AQ342" s="1"/>
      <c r="AR342" s="1"/>
      <c r="AS342" s="1"/>
      <c r="AT342" s="1"/>
      <c r="AU342" s="24"/>
      <c r="AV342" s="24"/>
      <c r="AW342" s="24"/>
      <c r="AX342" s="236"/>
      <c r="AY342" s="236"/>
      <c r="AZ342" s="236"/>
      <c r="BA342" s="236"/>
    </row>
    <row r="343" spans="1:53" s="51" customFormat="1" x14ac:dyDescent="0.2">
      <c r="A343" s="1"/>
      <c r="B343" s="2"/>
      <c r="C343" s="3"/>
      <c r="S343" s="131"/>
      <c r="T343" s="131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23"/>
      <c r="AL343" s="23"/>
      <c r="AM343" s="1"/>
      <c r="AN343" s="1"/>
      <c r="AO343" s="1"/>
      <c r="AP343" s="1"/>
      <c r="AQ343" s="1"/>
      <c r="AR343" s="1"/>
      <c r="AS343" s="1"/>
      <c r="AT343" s="1"/>
      <c r="AU343" s="24"/>
      <c r="AV343" s="24"/>
      <c r="AW343" s="24"/>
      <c r="AX343" s="236"/>
      <c r="AY343" s="236"/>
      <c r="AZ343" s="236"/>
      <c r="BA343" s="236"/>
    </row>
    <row r="344" spans="1:53" s="51" customFormat="1" x14ac:dyDescent="0.2">
      <c r="A344" s="1"/>
      <c r="B344" s="2"/>
      <c r="C344" s="3"/>
      <c r="S344" s="131"/>
      <c r="T344" s="131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23"/>
      <c r="AL344" s="23"/>
      <c r="AM344" s="1"/>
      <c r="AN344" s="1"/>
      <c r="AO344" s="1"/>
      <c r="AP344" s="1"/>
      <c r="AQ344" s="1"/>
      <c r="AR344" s="1"/>
      <c r="AS344" s="1"/>
      <c r="AT344" s="1"/>
      <c r="AU344" s="24"/>
      <c r="AV344" s="24"/>
      <c r="AW344" s="24"/>
      <c r="AX344" s="236"/>
      <c r="AY344" s="236"/>
      <c r="AZ344" s="236"/>
      <c r="BA344" s="236"/>
    </row>
    <row r="345" spans="1:53" s="51" customFormat="1" x14ac:dyDescent="0.2">
      <c r="A345" s="1"/>
      <c r="B345" s="2"/>
      <c r="C345" s="3"/>
      <c r="S345" s="131"/>
      <c r="T345" s="131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  <c r="AK345" s="23"/>
      <c r="AL345" s="23"/>
      <c r="AM345" s="1"/>
      <c r="AN345" s="1"/>
      <c r="AO345" s="1"/>
      <c r="AP345" s="1"/>
      <c r="AQ345" s="1"/>
      <c r="AR345" s="1"/>
      <c r="AS345" s="1"/>
      <c r="AT345" s="1"/>
      <c r="AU345" s="24"/>
      <c r="AV345" s="24"/>
      <c r="AW345" s="24"/>
      <c r="AX345" s="236"/>
      <c r="AY345" s="236"/>
      <c r="AZ345" s="236"/>
      <c r="BA345" s="236"/>
    </row>
    <row r="346" spans="1:53" s="51" customFormat="1" x14ac:dyDescent="0.2">
      <c r="A346" s="1"/>
      <c r="B346" s="2"/>
      <c r="C346" s="3"/>
      <c r="S346" s="131"/>
      <c r="T346" s="131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  <c r="AK346" s="23"/>
      <c r="AL346" s="23"/>
      <c r="AM346" s="1"/>
      <c r="AN346" s="1"/>
      <c r="AO346" s="1"/>
      <c r="AP346" s="1"/>
      <c r="AQ346" s="1"/>
      <c r="AR346" s="1"/>
      <c r="AS346" s="1"/>
      <c r="AT346" s="1"/>
      <c r="AU346" s="24"/>
      <c r="AV346" s="24"/>
      <c r="AW346" s="24"/>
      <c r="AX346" s="236"/>
      <c r="AY346" s="236"/>
      <c r="AZ346" s="236"/>
      <c r="BA346" s="236"/>
    </row>
    <row r="347" spans="1:53" s="51" customFormat="1" x14ac:dyDescent="0.2">
      <c r="A347" s="1"/>
      <c r="B347" s="2"/>
      <c r="C347" s="3"/>
      <c r="S347" s="131"/>
      <c r="T347" s="131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3"/>
      <c r="AL347" s="23"/>
      <c r="AM347" s="1"/>
      <c r="AN347" s="1"/>
      <c r="AO347" s="1"/>
      <c r="AP347" s="1"/>
      <c r="AQ347" s="1"/>
      <c r="AR347" s="1"/>
      <c r="AS347" s="1"/>
      <c r="AT347" s="1"/>
      <c r="AU347" s="24"/>
      <c r="AV347" s="24"/>
      <c r="AW347" s="24"/>
      <c r="AX347" s="236"/>
      <c r="AY347" s="236"/>
      <c r="AZ347" s="236"/>
      <c r="BA347" s="236"/>
    </row>
    <row r="348" spans="1:53" s="51" customFormat="1" x14ac:dyDescent="0.2">
      <c r="A348" s="1"/>
      <c r="B348" s="2"/>
      <c r="C348" s="3"/>
      <c r="S348" s="131"/>
      <c r="T348" s="131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  <c r="AL348" s="23"/>
      <c r="AM348" s="1"/>
      <c r="AN348" s="1"/>
      <c r="AO348" s="1"/>
      <c r="AP348" s="1"/>
      <c r="AQ348" s="1"/>
      <c r="AR348" s="1"/>
      <c r="AS348" s="1"/>
      <c r="AT348" s="1"/>
      <c r="AU348" s="24"/>
      <c r="AV348" s="24"/>
      <c r="AW348" s="24"/>
      <c r="AX348" s="236"/>
      <c r="AY348" s="236"/>
      <c r="AZ348" s="236"/>
      <c r="BA348" s="236"/>
    </row>
    <row r="349" spans="1:53" s="51" customFormat="1" x14ac:dyDescent="0.2">
      <c r="A349" s="1"/>
      <c r="B349" s="2"/>
      <c r="C349" s="3"/>
      <c r="S349" s="131"/>
      <c r="T349" s="131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  <c r="AK349" s="23"/>
      <c r="AL349" s="23"/>
      <c r="AM349" s="1"/>
      <c r="AN349" s="1"/>
      <c r="AO349" s="1"/>
      <c r="AP349" s="1"/>
      <c r="AQ349" s="1"/>
      <c r="AR349" s="1"/>
      <c r="AS349" s="1"/>
      <c r="AT349" s="1"/>
      <c r="AU349" s="24"/>
      <c r="AV349" s="24"/>
      <c r="AW349" s="24"/>
      <c r="AX349" s="236"/>
      <c r="AY349" s="236"/>
      <c r="AZ349" s="236"/>
      <c r="BA349" s="236"/>
    </row>
    <row r="350" spans="1:53" s="51" customFormat="1" x14ac:dyDescent="0.2">
      <c r="A350" s="1"/>
      <c r="B350" s="2"/>
      <c r="C350" s="3"/>
      <c r="S350" s="131"/>
      <c r="T350" s="131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  <c r="AK350" s="23"/>
      <c r="AL350" s="23"/>
      <c r="AM350" s="1"/>
      <c r="AN350" s="1"/>
      <c r="AO350" s="1"/>
      <c r="AP350" s="1"/>
      <c r="AQ350" s="1"/>
      <c r="AR350" s="1"/>
      <c r="AS350" s="1"/>
      <c r="AT350" s="1"/>
      <c r="AU350" s="24"/>
      <c r="AV350" s="24"/>
      <c r="AW350" s="24"/>
      <c r="AX350" s="236"/>
      <c r="AY350" s="236"/>
      <c r="AZ350" s="236"/>
      <c r="BA350" s="236"/>
    </row>
    <row r="351" spans="1:53" s="51" customFormat="1" x14ac:dyDescent="0.2">
      <c r="A351" s="1"/>
      <c r="B351" s="2"/>
      <c r="C351" s="3"/>
      <c r="S351" s="131"/>
      <c r="T351" s="131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3"/>
      <c r="AL351" s="23"/>
      <c r="AM351" s="1"/>
      <c r="AN351" s="1"/>
      <c r="AO351" s="1"/>
      <c r="AP351" s="1"/>
      <c r="AQ351" s="1"/>
      <c r="AR351" s="1"/>
      <c r="AS351" s="1"/>
      <c r="AT351" s="1"/>
      <c r="AU351" s="24"/>
      <c r="AV351" s="24"/>
      <c r="AW351" s="24"/>
      <c r="AX351" s="236"/>
      <c r="AY351" s="236"/>
      <c r="AZ351" s="236"/>
      <c r="BA351" s="236"/>
    </row>
    <row r="352" spans="1:53" s="51" customFormat="1" x14ac:dyDescent="0.2">
      <c r="A352" s="1"/>
      <c r="B352" s="2"/>
      <c r="C352" s="3"/>
      <c r="S352" s="131"/>
      <c r="T352" s="131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  <c r="AK352" s="23"/>
      <c r="AL352" s="23"/>
      <c r="AM352" s="1"/>
      <c r="AN352" s="1"/>
      <c r="AO352" s="1"/>
      <c r="AP352" s="1"/>
      <c r="AQ352" s="1"/>
      <c r="AR352" s="1"/>
      <c r="AS352" s="1"/>
      <c r="AT352" s="1"/>
      <c r="AU352" s="24"/>
      <c r="AV352" s="24"/>
      <c r="AW352" s="24"/>
      <c r="AX352" s="236"/>
      <c r="AY352" s="236"/>
      <c r="AZ352" s="236"/>
      <c r="BA352" s="236"/>
    </row>
    <row r="353" spans="1:53" s="51" customFormat="1" x14ac:dyDescent="0.2">
      <c r="A353" s="1"/>
      <c r="B353" s="2"/>
      <c r="C353" s="3"/>
      <c r="S353" s="131"/>
      <c r="T353" s="131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3"/>
      <c r="AL353" s="23"/>
      <c r="AM353" s="1"/>
      <c r="AN353" s="1"/>
      <c r="AO353" s="1"/>
      <c r="AP353" s="1"/>
      <c r="AQ353" s="1"/>
      <c r="AR353" s="1"/>
      <c r="AS353" s="1"/>
      <c r="AT353" s="1"/>
      <c r="AU353" s="24"/>
      <c r="AV353" s="24"/>
      <c r="AW353" s="24"/>
      <c r="AX353" s="236"/>
      <c r="AY353" s="236"/>
      <c r="AZ353" s="236"/>
      <c r="BA353" s="236"/>
    </row>
    <row r="354" spans="1:53" s="51" customFormat="1" x14ac:dyDescent="0.2">
      <c r="A354" s="1"/>
      <c r="B354" s="2"/>
      <c r="C354" s="3"/>
      <c r="S354" s="131"/>
      <c r="T354" s="131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  <c r="AK354" s="23"/>
      <c r="AL354" s="23"/>
      <c r="AM354" s="1"/>
      <c r="AN354" s="1"/>
      <c r="AO354" s="1"/>
      <c r="AP354" s="1"/>
      <c r="AQ354" s="1"/>
      <c r="AR354" s="1"/>
      <c r="AS354" s="1"/>
      <c r="AT354" s="1"/>
      <c r="AU354" s="24"/>
      <c r="AV354" s="24"/>
      <c r="AW354" s="24"/>
      <c r="AX354" s="236"/>
      <c r="AY354" s="236"/>
      <c r="AZ354" s="236"/>
      <c r="BA354" s="236"/>
    </row>
    <row r="355" spans="1:53" s="51" customFormat="1" x14ac:dyDescent="0.2">
      <c r="A355" s="1"/>
      <c r="B355" s="2"/>
      <c r="C355" s="3"/>
      <c r="S355" s="131"/>
      <c r="T355" s="131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  <c r="AK355" s="23"/>
      <c r="AL355" s="23"/>
      <c r="AM355" s="1"/>
      <c r="AN355" s="1"/>
      <c r="AO355" s="1"/>
      <c r="AP355" s="1"/>
      <c r="AQ355" s="1"/>
      <c r="AR355" s="1"/>
      <c r="AS355" s="1"/>
      <c r="AT355" s="1"/>
      <c r="AU355" s="24"/>
      <c r="AV355" s="24"/>
      <c r="AW355" s="24"/>
      <c r="AX355" s="236"/>
      <c r="AY355" s="236"/>
      <c r="AZ355" s="236"/>
      <c r="BA355" s="236"/>
    </row>
    <row r="356" spans="1:53" s="51" customFormat="1" x14ac:dyDescent="0.2">
      <c r="A356" s="1"/>
      <c r="B356" s="2"/>
      <c r="C356" s="3"/>
      <c r="S356" s="131"/>
      <c r="T356" s="131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  <c r="AK356" s="23"/>
      <c r="AL356" s="23"/>
      <c r="AM356" s="1"/>
      <c r="AN356" s="1"/>
      <c r="AO356" s="1"/>
      <c r="AP356" s="1"/>
      <c r="AQ356" s="1"/>
      <c r="AR356" s="1"/>
      <c r="AS356" s="1"/>
      <c r="AT356" s="1"/>
      <c r="AU356" s="24"/>
      <c r="AV356" s="24"/>
      <c r="AW356" s="24"/>
      <c r="AX356" s="236"/>
      <c r="AY356" s="236"/>
      <c r="AZ356" s="236"/>
      <c r="BA356" s="236"/>
    </row>
    <row r="357" spans="1:53" s="51" customFormat="1" x14ac:dyDescent="0.2">
      <c r="A357" s="1"/>
      <c r="B357" s="2"/>
      <c r="C357" s="3"/>
      <c r="S357" s="131"/>
      <c r="T357" s="131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  <c r="AK357" s="23"/>
      <c r="AL357" s="23"/>
      <c r="AM357" s="1"/>
      <c r="AN357" s="1"/>
      <c r="AO357" s="1"/>
      <c r="AP357" s="1"/>
      <c r="AQ357" s="1"/>
      <c r="AR357" s="1"/>
      <c r="AS357" s="1"/>
      <c r="AT357" s="1"/>
      <c r="AU357" s="24"/>
      <c r="AV357" s="24"/>
      <c r="AW357" s="24"/>
      <c r="AX357" s="236"/>
      <c r="AY357" s="236"/>
      <c r="AZ357" s="236"/>
      <c r="BA357" s="236"/>
    </row>
    <row r="358" spans="1:53" s="51" customFormat="1" x14ac:dyDescent="0.2">
      <c r="A358" s="1"/>
      <c r="B358" s="2"/>
      <c r="C358" s="3"/>
      <c r="S358" s="131"/>
      <c r="T358" s="131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  <c r="AK358" s="23"/>
      <c r="AL358" s="23"/>
      <c r="AM358" s="1"/>
      <c r="AN358" s="1"/>
      <c r="AO358" s="1"/>
      <c r="AP358" s="1"/>
      <c r="AQ358" s="1"/>
      <c r="AR358" s="1"/>
      <c r="AS358" s="1"/>
      <c r="AT358" s="1"/>
      <c r="AU358" s="24"/>
      <c r="AV358" s="24"/>
      <c r="AW358" s="24"/>
      <c r="AX358" s="236"/>
      <c r="AY358" s="236"/>
      <c r="AZ358" s="236"/>
      <c r="BA358" s="236"/>
    </row>
    <row r="359" spans="1:53" s="51" customFormat="1" x14ac:dyDescent="0.2">
      <c r="A359" s="1"/>
      <c r="B359" s="2"/>
      <c r="C359" s="3"/>
      <c r="S359" s="131"/>
      <c r="T359" s="131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  <c r="AK359" s="23"/>
      <c r="AL359" s="23"/>
      <c r="AM359" s="1"/>
      <c r="AN359" s="1"/>
      <c r="AO359" s="1"/>
      <c r="AP359" s="1"/>
      <c r="AQ359" s="1"/>
      <c r="AR359" s="1"/>
      <c r="AS359" s="1"/>
      <c r="AT359" s="1"/>
      <c r="AU359" s="24"/>
      <c r="AV359" s="24"/>
      <c r="AW359" s="24"/>
      <c r="AX359" s="236"/>
      <c r="AY359" s="236"/>
      <c r="AZ359" s="236"/>
      <c r="BA359" s="236"/>
    </row>
    <row r="360" spans="1:53" s="51" customFormat="1" x14ac:dyDescent="0.2">
      <c r="A360" s="1"/>
      <c r="B360" s="2"/>
      <c r="C360" s="3"/>
      <c r="S360" s="131"/>
      <c r="T360" s="131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  <c r="AK360" s="23"/>
      <c r="AL360" s="23"/>
      <c r="AM360" s="1"/>
      <c r="AN360" s="1"/>
      <c r="AO360" s="1"/>
      <c r="AP360" s="1"/>
      <c r="AQ360" s="1"/>
      <c r="AR360" s="1"/>
      <c r="AS360" s="1"/>
      <c r="AT360" s="1"/>
      <c r="AU360" s="24"/>
      <c r="AV360" s="24"/>
      <c r="AW360" s="24"/>
      <c r="AX360" s="236"/>
      <c r="AY360" s="236"/>
      <c r="AZ360" s="236"/>
      <c r="BA360" s="236"/>
    </row>
    <row r="361" spans="1:53" s="51" customFormat="1" x14ac:dyDescent="0.2">
      <c r="A361" s="1"/>
      <c r="B361" s="2"/>
      <c r="C361" s="3"/>
      <c r="S361" s="131"/>
      <c r="T361" s="131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  <c r="AK361" s="23"/>
      <c r="AL361" s="23"/>
      <c r="AM361" s="1"/>
      <c r="AN361" s="1"/>
      <c r="AO361" s="1"/>
      <c r="AP361" s="1"/>
      <c r="AQ361" s="1"/>
      <c r="AR361" s="1"/>
      <c r="AS361" s="1"/>
      <c r="AT361" s="1"/>
      <c r="AU361" s="24"/>
      <c r="AV361" s="24"/>
      <c r="AW361" s="24"/>
      <c r="AX361" s="236"/>
      <c r="AY361" s="236"/>
      <c r="AZ361" s="236"/>
      <c r="BA361" s="236"/>
    </row>
    <row r="362" spans="1:53" s="51" customFormat="1" x14ac:dyDescent="0.2">
      <c r="A362" s="1"/>
      <c r="B362" s="2"/>
      <c r="C362" s="3"/>
      <c r="S362" s="131"/>
      <c r="T362" s="131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  <c r="AJ362" s="23"/>
      <c r="AK362" s="23"/>
      <c r="AL362" s="23"/>
      <c r="AM362" s="1"/>
      <c r="AN362" s="1"/>
      <c r="AO362" s="1"/>
      <c r="AP362" s="1"/>
      <c r="AQ362" s="1"/>
      <c r="AR362" s="1"/>
      <c r="AS362" s="1"/>
      <c r="AT362" s="1"/>
      <c r="AU362" s="24"/>
      <c r="AV362" s="24"/>
      <c r="AW362" s="24"/>
      <c r="AX362" s="236"/>
      <c r="AY362" s="236"/>
      <c r="AZ362" s="236"/>
      <c r="BA362" s="236"/>
    </row>
    <row r="363" spans="1:53" s="51" customFormat="1" x14ac:dyDescent="0.2">
      <c r="A363" s="1"/>
      <c r="B363" s="2"/>
      <c r="C363" s="3"/>
      <c r="S363" s="131"/>
      <c r="T363" s="131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  <c r="AK363" s="23"/>
      <c r="AL363" s="23"/>
      <c r="AM363" s="1"/>
      <c r="AN363" s="1"/>
      <c r="AO363" s="1"/>
      <c r="AP363" s="1"/>
      <c r="AQ363" s="1"/>
      <c r="AR363" s="1"/>
      <c r="AS363" s="1"/>
      <c r="AT363" s="1"/>
      <c r="AU363" s="24"/>
      <c r="AV363" s="24"/>
      <c r="AW363" s="24"/>
      <c r="AX363" s="236"/>
      <c r="AY363" s="236"/>
      <c r="AZ363" s="236"/>
      <c r="BA363" s="236"/>
    </row>
    <row r="364" spans="1:53" s="51" customFormat="1" x14ac:dyDescent="0.2">
      <c r="A364" s="1"/>
      <c r="B364" s="2"/>
      <c r="C364" s="3"/>
      <c r="S364" s="131"/>
      <c r="T364" s="131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23"/>
      <c r="AK364" s="23"/>
      <c r="AL364" s="23"/>
      <c r="AM364" s="1"/>
      <c r="AN364" s="1"/>
      <c r="AO364" s="1"/>
      <c r="AP364" s="1"/>
      <c r="AQ364" s="1"/>
      <c r="AR364" s="1"/>
      <c r="AS364" s="1"/>
      <c r="AT364" s="1"/>
      <c r="AU364" s="24"/>
      <c r="AV364" s="24"/>
      <c r="AW364" s="24"/>
      <c r="AX364" s="236"/>
      <c r="AY364" s="236"/>
      <c r="AZ364" s="236"/>
      <c r="BA364" s="236"/>
    </row>
    <row r="365" spans="1:53" s="51" customFormat="1" x14ac:dyDescent="0.2">
      <c r="A365" s="1"/>
      <c r="B365" s="2"/>
      <c r="C365" s="3"/>
      <c r="S365" s="131"/>
      <c r="T365" s="131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23"/>
      <c r="AK365" s="23"/>
      <c r="AL365" s="23"/>
      <c r="AM365" s="1"/>
      <c r="AN365" s="1"/>
      <c r="AO365" s="1"/>
      <c r="AP365" s="1"/>
      <c r="AQ365" s="1"/>
      <c r="AR365" s="1"/>
      <c r="AS365" s="1"/>
      <c r="AT365" s="1"/>
      <c r="AU365" s="24"/>
      <c r="AV365" s="24"/>
      <c r="AW365" s="24"/>
      <c r="AX365" s="236"/>
      <c r="AY365" s="236"/>
      <c r="AZ365" s="236"/>
      <c r="BA365" s="236"/>
    </row>
    <row r="366" spans="1:53" s="51" customFormat="1" x14ac:dyDescent="0.2">
      <c r="A366" s="1"/>
      <c r="B366" s="2"/>
      <c r="C366" s="3"/>
      <c r="S366" s="131"/>
      <c r="T366" s="131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  <c r="AK366" s="23"/>
      <c r="AL366" s="23"/>
      <c r="AM366" s="1"/>
      <c r="AN366" s="1"/>
      <c r="AO366" s="1"/>
      <c r="AP366" s="1"/>
      <c r="AQ366" s="1"/>
      <c r="AR366" s="1"/>
      <c r="AS366" s="1"/>
      <c r="AT366" s="1"/>
      <c r="AU366" s="24"/>
      <c r="AV366" s="24"/>
      <c r="AW366" s="24"/>
      <c r="AX366" s="236"/>
      <c r="AY366" s="236"/>
      <c r="AZ366" s="236"/>
      <c r="BA366" s="236"/>
    </row>
    <row r="367" spans="1:53" s="51" customFormat="1" x14ac:dyDescent="0.2">
      <c r="A367" s="1"/>
      <c r="B367" s="2"/>
      <c r="C367" s="3"/>
      <c r="S367" s="131"/>
      <c r="T367" s="131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  <c r="AK367" s="23"/>
      <c r="AL367" s="23"/>
      <c r="AM367" s="1"/>
      <c r="AN367" s="1"/>
      <c r="AO367" s="1"/>
      <c r="AP367" s="1"/>
      <c r="AQ367" s="1"/>
      <c r="AR367" s="1"/>
      <c r="AS367" s="1"/>
      <c r="AT367" s="1"/>
      <c r="AU367" s="24"/>
      <c r="AV367" s="24"/>
      <c r="AW367" s="24"/>
      <c r="AX367" s="236"/>
      <c r="AY367" s="236"/>
      <c r="AZ367" s="236"/>
      <c r="BA367" s="236"/>
    </row>
    <row r="368" spans="1:53" s="51" customFormat="1" x14ac:dyDescent="0.2">
      <c r="A368" s="1"/>
      <c r="B368" s="2"/>
      <c r="C368" s="3"/>
      <c r="S368" s="131"/>
      <c r="T368" s="131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  <c r="AK368" s="23"/>
      <c r="AL368" s="23"/>
      <c r="AM368" s="1"/>
      <c r="AN368" s="1"/>
      <c r="AO368" s="1"/>
      <c r="AP368" s="1"/>
      <c r="AQ368" s="1"/>
      <c r="AR368" s="1"/>
      <c r="AS368" s="1"/>
      <c r="AT368" s="1"/>
      <c r="AU368" s="24"/>
      <c r="AV368" s="24"/>
      <c r="AW368" s="24"/>
      <c r="AX368" s="236"/>
      <c r="AY368" s="236"/>
      <c r="AZ368" s="236"/>
      <c r="BA368" s="236"/>
    </row>
    <row r="369" spans="1:53" s="51" customFormat="1" x14ac:dyDescent="0.2">
      <c r="A369" s="1"/>
      <c r="B369" s="2"/>
      <c r="C369" s="3"/>
      <c r="S369" s="131"/>
      <c r="T369" s="131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  <c r="AK369" s="23"/>
      <c r="AL369" s="23"/>
      <c r="AM369" s="1"/>
      <c r="AN369" s="1"/>
      <c r="AO369" s="1"/>
      <c r="AP369" s="1"/>
      <c r="AQ369" s="1"/>
      <c r="AR369" s="1"/>
      <c r="AS369" s="1"/>
      <c r="AT369" s="1"/>
      <c r="AU369" s="24"/>
      <c r="AV369" s="24"/>
      <c r="AW369" s="24"/>
      <c r="AX369" s="236"/>
      <c r="AY369" s="236"/>
      <c r="AZ369" s="236"/>
      <c r="BA369" s="236"/>
    </row>
    <row r="370" spans="1:53" s="51" customFormat="1" x14ac:dyDescent="0.2">
      <c r="A370" s="1"/>
      <c r="B370" s="2"/>
      <c r="C370" s="3"/>
      <c r="S370" s="131"/>
      <c r="T370" s="131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23"/>
      <c r="AK370" s="23"/>
      <c r="AL370" s="23"/>
      <c r="AM370" s="1"/>
      <c r="AN370" s="1"/>
      <c r="AO370" s="1"/>
      <c r="AP370" s="1"/>
      <c r="AQ370" s="1"/>
      <c r="AR370" s="1"/>
      <c r="AS370" s="1"/>
      <c r="AT370" s="1"/>
      <c r="AU370" s="24"/>
      <c r="AV370" s="24"/>
      <c r="AW370" s="24"/>
      <c r="AX370" s="236"/>
      <c r="AY370" s="236"/>
      <c r="AZ370" s="236"/>
      <c r="BA370" s="236"/>
    </row>
    <row r="371" spans="1:53" s="51" customFormat="1" x14ac:dyDescent="0.2">
      <c r="A371" s="1"/>
      <c r="B371" s="2"/>
      <c r="C371" s="3"/>
      <c r="S371" s="131"/>
      <c r="T371" s="131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  <c r="AK371" s="23"/>
      <c r="AL371" s="23"/>
      <c r="AM371" s="1"/>
      <c r="AN371" s="1"/>
      <c r="AO371" s="1"/>
      <c r="AP371" s="1"/>
      <c r="AQ371" s="1"/>
      <c r="AR371" s="1"/>
      <c r="AS371" s="1"/>
      <c r="AT371" s="1"/>
      <c r="AU371" s="24"/>
      <c r="AV371" s="24"/>
      <c r="AW371" s="24"/>
      <c r="AX371" s="236"/>
      <c r="AY371" s="236"/>
      <c r="AZ371" s="236"/>
      <c r="BA371" s="236"/>
    </row>
    <row r="372" spans="1:53" s="51" customFormat="1" x14ac:dyDescent="0.2">
      <c r="A372" s="1"/>
      <c r="B372" s="2"/>
      <c r="C372" s="3"/>
      <c r="S372" s="131"/>
      <c r="T372" s="131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  <c r="AK372" s="23"/>
      <c r="AL372" s="23"/>
      <c r="AM372" s="1"/>
      <c r="AN372" s="1"/>
      <c r="AO372" s="1"/>
      <c r="AP372" s="1"/>
      <c r="AQ372" s="1"/>
      <c r="AR372" s="1"/>
      <c r="AS372" s="1"/>
      <c r="AT372" s="1"/>
      <c r="AU372" s="24"/>
      <c r="AV372" s="24"/>
      <c r="AW372" s="24"/>
      <c r="AX372" s="236"/>
      <c r="AY372" s="236"/>
      <c r="AZ372" s="236"/>
      <c r="BA372" s="236"/>
    </row>
    <row r="373" spans="1:53" s="51" customFormat="1" x14ac:dyDescent="0.2">
      <c r="A373" s="1"/>
      <c r="B373" s="2"/>
      <c r="C373" s="3"/>
      <c r="S373" s="131"/>
      <c r="T373" s="131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  <c r="AK373" s="23"/>
      <c r="AL373" s="23"/>
      <c r="AM373" s="1"/>
      <c r="AN373" s="1"/>
      <c r="AO373" s="1"/>
      <c r="AP373" s="1"/>
      <c r="AQ373" s="1"/>
      <c r="AR373" s="1"/>
      <c r="AS373" s="1"/>
      <c r="AT373" s="1"/>
      <c r="AU373" s="24"/>
      <c r="AV373" s="24"/>
      <c r="AW373" s="24"/>
      <c r="AX373" s="236"/>
      <c r="AY373" s="236"/>
      <c r="AZ373" s="236"/>
      <c r="BA373" s="236"/>
    </row>
    <row r="374" spans="1:53" s="51" customFormat="1" x14ac:dyDescent="0.2">
      <c r="A374" s="1"/>
      <c r="B374" s="2"/>
      <c r="C374" s="3"/>
      <c r="S374" s="131"/>
      <c r="T374" s="131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23"/>
      <c r="AK374" s="23"/>
      <c r="AL374" s="23"/>
      <c r="AM374" s="1"/>
      <c r="AN374" s="1"/>
      <c r="AO374" s="1"/>
      <c r="AP374" s="1"/>
      <c r="AQ374" s="1"/>
      <c r="AR374" s="1"/>
      <c r="AS374" s="1"/>
      <c r="AT374" s="1"/>
      <c r="AU374" s="24"/>
      <c r="AV374" s="24"/>
      <c r="AW374" s="24"/>
      <c r="AX374" s="236"/>
      <c r="AY374" s="236"/>
      <c r="AZ374" s="236"/>
      <c r="BA374" s="236"/>
    </row>
    <row r="375" spans="1:53" s="51" customFormat="1" x14ac:dyDescent="0.2">
      <c r="A375" s="1"/>
      <c r="B375" s="2"/>
      <c r="C375" s="3"/>
      <c r="S375" s="131"/>
      <c r="T375" s="131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  <c r="AK375" s="23"/>
      <c r="AL375" s="23"/>
      <c r="AM375" s="1"/>
      <c r="AN375" s="1"/>
      <c r="AO375" s="1"/>
      <c r="AP375" s="1"/>
      <c r="AQ375" s="1"/>
      <c r="AR375" s="1"/>
      <c r="AS375" s="1"/>
      <c r="AT375" s="1"/>
      <c r="AU375" s="24"/>
      <c r="AV375" s="24"/>
      <c r="AW375" s="24"/>
      <c r="AX375" s="236"/>
      <c r="AY375" s="236"/>
      <c r="AZ375" s="236"/>
      <c r="BA375" s="236"/>
    </row>
    <row r="376" spans="1:53" s="51" customFormat="1" x14ac:dyDescent="0.2">
      <c r="A376" s="1"/>
      <c r="B376" s="2"/>
      <c r="C376" s="3"/>
      <c r="S376" s="131"/>
      <c r="T376" s="131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  <c r="AJ376" s="23"/>
      <c r="AK376" s="23"/>
      <c r="AL376" s="23"/>
      <c r="AM376" s="1"/>
      <c r="AN376" s="1"/>
      <c r="AO376" s="1"/>
      <c r="AP376" s="1"/>
      <c r="AQ376" s="1"/>
      <c r="AR376" s="1"/>
      <c r="AS376" s="1"/>
      <c r="AT376" s="1"/>
      <c r="AU376" s="24"/>
      <c r="AV376" s="24"/>
      <c r="AW376" s="24"/>
      <c r="AX376" s="236"/>
      <c r="AY376" s="236"/>
      <c r="AZ376" s="236"/>
      <c r="BA376" s="236"/>
    </row>
    <row r="377" spans="1:53" s="51" customFormat="1" x14ac:dyDescent="0.2">
      <c r="A377" s="1"/>
      <c r="B377" s="2"/>
      <c r="C377" s="3"/>
      <c r="S377" s="131"/>
      <c r="T377" s="131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  <c r="AK377" s="23"/>
      <c r="AL377" s="23"/>
      <c r="AM377" s="1"/>
      <c r="AN377" s="1"/>
      <c r="AO377" s="1"/>
      <c r="AP377" s="1"/>
      <c r="AQ377" s="1"/>
      <c r="AR377" s="1"/>
      <c r="AS377" s="1"/>
      <c r="AT377" s="1"/>
      <c r="AU377" s="24"/>
      <c r="AV377" s="24"/>
      <c r="AW377" s="24"/>
      <c r="AX377" s="236"/>
      <c r="AY377" s="236"/>
      <c r="AZ377" s="236"/>
      <c r="BA377" s="236"/>
    </row>
    <row r="378" spans="1:53" s="51" customFormat="1" x14ac:dyDescent="0.2">
      <c r="A378" s="1"/>
      <c r="B378" s="2"/>
      <c r="C378" s="3"/>
      <c r="S378" s="131"/>
      <c r="T378" s="131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  <c r="AK378" s="23"/>
      <c r="AL378" s="23"/>
      <c r="AM378" s="1"/>
      <c r="AN378" s="1"/>
      <c r="AO378" s="1"/>
      <c r="AP378" s="1"/>
      <c r="AQ378" s="1"/>
      <c r="AR378" s="1"/>
      <c r="AS378" s="1"/>
      <c r="AT378" s="1"/>
      <c r="AU378" s="24"/>
      <c r="AV378" s="24"/>
      <c r="AW378" s="24"/>
      <c r="AX378" s="236"/>
      <c r="AY378" s="236"/>
      <c r="AZ378" s="236"/>
      <c r="BA378" s="236"/>
    </row>
    <row r="379" spans="1:53" s="51" customFormat="1" x14ac:dyDescent="0.2">
      <c r="A379" s="1"/>
      <c r="B379" s="2"/>
      <c r="C379" s="3"/>
      <c r="S379" s="131"/>
      <c r="T379" s="131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  <c r="AJ379" s="23"/>
      <c r="AK379" s="23"/>
      <c r="AL379" s="23"/>
      <c r="AM379" s="1"/>
      <c r="AN379" s="1"/>
      <c r="AO379" s="1"/>
      <c r="AP379" s="1"/>
      <c r="AQ379" s="1"/>
      <c r="AR379" s="1"/>
      <c r="AS379" s="1"/>
      <c r="AT379" s="1"/>
      <c r="AU379" s="24"/>
      <c r="AV379" s="24"/>
      <c r="AW379" s="24"/>
      <c r="AX379" s="236"/>
      <c r="AY379" s="236"/>
      <c r="AZ379" s="236"/>
      <c r="BA379" s="236"/>
    </row>
    <row r="380" spans="1:53" s="51" customFormat="1" x14ac:dyDescent="0.2">
      <c r="A380" s="1"/>
      <c r="B380" s="2"/>
      <c r="C380" s="3"/>
      <c r="S380" s="131"/>
      <c r="T380" s="131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  <c r="AK380" s="23"/>
      <c r="AL380" s="23"/>
      <c r="AM380" s="1"/>
      <c r="AN380" s="1"/>
      <c r="AO380" s="1"/>
      <c r="AP380" s="1"/>
      <c r="AQ380" s="1"/>
      <c r="AR380" s="1"/>
      <c r="AS380" s="1"/>
      <c r="AT380" s="1"/>
      <c r="AU380" s="24"/>
      <c r="AV380" s="24"/>
      <c r="AW380" s="24"/>
      <c r="AX380" s="236"/>
      <c r="AY380" s="236"/>
      <c r="AZ380" s="236"/>
      <c r="BA380" s="236"/>
    </row>
    <row r="381" spans="1:53" s="51" customFormat="1" x14ac:dyDescent="0.2">
      <c r="A381" s="1"/>
      <c r="B381" s="2"/>
      <c r="C381" s="3"/>
      <c r="S381" s="131"/>
      <c r="T381" s="131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3"/>
      <c r="AJ381" s="23"/>
      <c r="AK381" s="23"/>
      <c r="AL381" s="23"/>
      <c r="AM381" s="1"/>
      <c r="AN381" s="1"/>
      <c r="AO381" s="1"/>
      <c r="AP381" s="1"/>
      <c r="AQ381" s="1"/>
      <c r="AR381" s="1"/>
      <c r="AS381" s="1"/>
      <c r="AT381" s="1"/>
      <c r="AU381" s="24"/>
      <c r="AV381" s="24"/>
      <c r="AW381" s="24"/>
      <c r="AX381" s="236"/>
      <c r="AY381" s="236"/>
      <c r="AZ381" s="236"/>
      <c r="BA381" s="236"/>
    </row>
    <row r="382" spans="1:53" s="51" customFormat="1" x14ac:dyDescent="0.2">
      <c r="A382" s="1"/>
      <c r="B382" s="2"/>
      <c r="C382" s="3"/>
      <c r="S382" s="131"/>
      <c r="T382" s="131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  <c r="AJ382" s="23"/>
      <c r="AK382" s="23"/>
      <c r="AL382" s="23"/>
      <c r="AM382" s="1"/>
      <c r="AN382" s="1"/>
      <c r="AO382" s="1"/>
      <c r="AP382" s="1"/>
      <c r="AQ382" s="1"/>
      <c r="AR382" s="1"/>
      <c r="AS382" s="1"/>
      <c r="AT382" s="1"/>
      <c r="AU382" s="24"/>
      <c r="AV382" s="24"/>
      <c r="AW382" s="24"/>
      <c r="AX382" s="236"/>
      <c r="AY382" s="236"/>
      <c r="AZ382" s="236"/>
      <c r="BA382" s="236"/>
    </row>
    <row r="383" spans="1:53" s="51" customFormat="1" x14ac:dyDescent="0.2">
      <c r="A383" s="1"/>
      <c r="B383" s="2"/>
      <c r="C383" s="3"/>
      <c r="S383" s="131"/>
      <c r="T383" s="131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  <c r="AJ383" s="23"/>
      <c r="AK383" s="23"/>
      <c r="AL383" s="23"/>
      <c r="AM383" s="1"/>
      <c r="AN383" s="1"/>
      <c r="AO383" s="1"/>
      <c r="AP383" s="1"/>
      <c r="AQ383" s="1"/>
      <c r="AR383" s="1"/>
      <c r="AS383" s="1"/>
      <c r="AT383" s="1"/>
      <c r="AU383" s="24"/>
      <c r="AV383" s="24"/>
      <c r="AW383" s="24"/>
      <c r="AX383" s="236"/>
      <c r="AY383" s="236"/>
      <c r="AZ383" s="236"/>
      <c r="BA383" s="236"/>
    </row>
    <row r="384" spans="1:53" s="51" customFormat="1" x14ac:dyDescent="0.2">
      <c r="A384" s="1"/>
      <c r="B384" s="2"/>
      <c r="C384" s="3"/>
      <c r="S384" s="131"/>
      <c r="T384" s="131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  <c r="AJ384" s="23"/>
      <c r="AK384" s="23"/>
      <c r="AL384" s="23"/>
      <c r="AM384" s="1"/>
      <c r="AN384" s="1"/>
      <c r="AO384" s="1"/>
      <c r="AP384" s="1"/>
      <c r="AQ384" s="1"/>
      <c r="AR384" s="1"/>
      <c r="AS384" s="1"/>
      <c r="AT384" s="1"/>
      <c r="AU384" s="24"/>
      <c r="AV384" s="24"/>
      <c r="AW384" s="24"/>
      <c r="AX384" s="236"/>
      <c r="AY384" s="236"/>
      <c r="AZ384" s="236"/>
      <c r="BA384" s="236"/>
    </row>
    <row r="385" spans="1:53" s="51" customFormat="1" x14ac:dyDescent="0.2">
      <c r="A385" s="1"/>
      <c r="B385" s="2"/>
      <c r="C385" s="3"/>
      <c r="S385" s="131"/>
      <c r="T385" s="131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  <c r="AJ385" s="23"/>
      <c r="AK385" s="23"/>
      <c r="AL385" s="23"/>
      <c r="AM385" s="1"/>
      <c r="AN385" s="1"/>
      <c r="AO385" s="1"/>
      <c r="AP385" s="1"/>
      <c r="AQ385" s="1"/>
      <c r="AR385" s="1"/>
      <c r="AS385" s="1"/>
      <c r="AT385" s="1"/>
      <c r="AU385" s="24"/>
      <c r="AV385" s="24"/>
      <c r="AW385" s="24"/>
      <c r="AX385" s="236"/>
      <c r="AY385" s="236"/>
      <c r="AZ385" s="236"/>
      <c r="BA385" s="236"/>
    </row>
    <row r="386" spans="1:53" s="51" customFormat="1" x14ac:dyDescent="0.2">
      <c r="A386" s="1"/>
      <c r="B386" s="2"/>
      <c r="C386" s="3"/>
      <c r="S386" s="131"/>
      <c r="T386" s="131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  <c r="AK386" s="23"/>
      <c r="AL386" s="23"/>
      <c r="AM386" s="1"/>
      <c r="AN386" s="1"/>
      <c r="AO386" s="1"/>
      <c r="AP386" s="1"/>
      <c r="AQ386" s="1"/>
      <c r="AR386" s="1"/>
      <c r="AS386" s="1"/>
      <c r="AT386" s="1"/>
      <c r="AU386" s="24"/>
      <c r="AV386" s="24"/>
      <c r="AW386" s="24"/>
      <c r="AX386" s="236"/>
      <c r="AY386" s="236"/>
      <c r="AZ386" s="236"/>
      <c r="BA386" s="236"/>
    </row>
    <row r="387" spans="1:53" s="51" customFormat="1" x14ac:dyDescent="0.2">
      <c r="A387" s="1"/>
      <c r="B387" s="2"/>
      <c r="C387" s="3"/>
      <c r="S387" s="131"/>
      <c r="T387" s="131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  <c r="AJ387" s="23"/>
      <c r="AK387" s="23"/>
      <c r="AL387" s="23"/>
      <c r="AM387" s="1"/>
      <c r="AN387" s="1"/>
      <c r="AO387" s="1"/>
      <c r="AP387" s="1"/>
      <c r="AQ387" s="1"/>
      <c r="AR387" s="1"/>
      <c r="AS387" s="1"/>
      <c r="AT387" s="1"/>
      <c r="AU387" s="24"/>
      <c r="AV387" s="24"/>
      <c r="AW387" s="24"/>
      <c r="AX387" s="236"/>
      <c r="AY387" s="236"/>
      <c r="AZ387" s="236"/>
      <c r="BA387" s="236"/>
    </row>
    <row r="388" spans="1:53" s="51" customFormat="1" x14ac:dyDescent="0.2">
      <c r="A388" s="1"/>
      <c r="B388" s="2"/>
      <c r="C388" s="3"/>
      <c r="S388" s="131"/>
      <c r="T388" s="131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23"/>
      <c r="AK388" s="23"/>
      <c r="AL388" s="23"/>
      <c r="AM388" s="1"/>
      <c r="AN388" s="1"/>
      <c r="AO388" s="1"/>
      <c r="AP388" s="1"/>
      <c r="AQ388" s="1"/>
      <c r="AR388" s="1"/>
      <c r="AS388" s="1"/>
      <c r="AT388" s="1"/>
      <c r="AU388" s="24"/>
      <c r="AV388" s="24"/>
      <c r="AW388" s="24"/>
      <c r="AX388" s="236"/>
      <c r="AY388" s="236"/>
      <c r="AZ388" s="236"/>
      <c r="BA388" s="236"/>
    </row>
    <row r="389" spans="1:53" s="51" customFormat="1" x14ac:dyDescent="0.2">
      <c r="A389" s="1"/>
      <c r="B389" s="2"/>
      <c r="C389" s="3"/>
      <c r="S389" s="131"/>
      <c r="T389" s="131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  <c r="AJ389" s="23"/>
      <c r="AK389" s="23"/>
      <c r="AL389" s="23"/>
      <c r="AM389" s="1"/>
      <c r="AN389" s="1"/>
      <c r="AO389" s="1"/>
      <c r="AP389" s="1"/>
      <c r="AQ389" s="1"/>
      <c r="AR389" s="1"/>
      <c r="AS389" s="1"/>
      <c r="AT389" s="1"/>
      <c r="AU389" s="24"/>
      <c r="AV389" s="24"/>
      <c r="AW389" s="24"/>
      <c r="AX389" s="236"/>
      <c r="AY389" s="236"/>
      <c r="AZ389" s="236"/>
      <c r="BA389" s="236"/>
    </row>
    <row r="390" spans="1:53" s="51" customFormat="1" x14ac:dyDescent="0.2">
      <c r="A390" s="1"/>
      <c r="B390" s="2"/>
      <c r="C390" s="3"/>
      <c r="S390" s="131"/>
      <c r="T390" s="131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  <c r="AJ390" s="23"/>
      <c r="AK390" s="23"/>
      <c r="AL390" s="23"/>
      <c r="AM390" s="1"/>
      <c r="AN390" s="1"/>
      <c r="AO390" s="1"/>
      <c r="AP390" s="1"/>
      <c r="AQ390" s="1"/>
      <c r="AR390" s="1"/>
      <c r="AS390" s="1"/>
      <c r="AT390" s="1"/>
      <c r="AU390" s="24"/>
      <c r="AV390" s="24"/>
      <c r="AW390" s="24"/>
      <c r="AX390" s="236"/>
      <c r="AY390" s="236"/>
      <c r="AZ390" s="236"/>
      <c r="BA390" s="236"/>
    </row>
    <row r="391" spans="1:53" s="51" customFormat="1" x14ac:dyDescent="0.2">
      <c r="A391" s="1"/>
      <c r="B391" s="2"/>
      <c r="C391" s="3"/>
      <c r="S391" s="131"/>
      <c r="T391" s="131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  <c r="AJ391" s="23"/>
      <c r="AK391" s="23"/>
      <c r="AL391" s="23"/>
      <c r="AM391" s="1"/>
      <c r="AN391" s="1"/>
      <c r="AO391" s="1"/>
      <c r="AP391" s="1"/>
      <c r="AQ391" s="1"/>
      <c r="AR391" s="1"/>
      <c r="AS391" s="1"/>
      <c r="AT391" s="1"/>
      <c r="AU391" s="24"/>
      <c r="AV391" s="24"/>
      <c r="AW391" s="24"/>
      <c r="AX391" s="236"/>
      <c r="AY391" s="236"/>
      <c r="AZ391" s="236"/>
      <c r="BA391" s="236"/>
    </row>
    <row r="392" spans="1:53" s="51" customFormat="1" x14ac:dyDescent="0.2">
      <c r="A392" s="1"/>
      <c r="B392" s="2"/>
      <c r="C392" s="3"/>
      <c r="S392" s="131"/>
      <c r="T392" s="131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3"/>
      <c r="AJ392" s="23"/>
      <c r="AK392" s="23"/>
      <c r="AL392" s="23"/>
      <c r="AM392" s="1"/>
      <c r="AN392" s="1"/>
      <c r="AO392" s="1"/>
      <c r="AP392" s="1"/>
      <c r="AQ392" s="1"/>
      <c r="AR392" s="1"/>
      <c r="AS392" s="1"/>
      <c r="AT392" s="1"/>
      <c r="AU392" s="24"/>
      <c r="AV392" s="24"/>
      <c r="AW392" s="24"/>
      <c r="AX392" s="236"/>
      <c r="AY392" s="236"/>
      <c r="AZ392" s="236"/>
      <c r="BA392" s="236"/>
    </row>
    <row r="393" spans="1:53" s="51" customFormat="1" x14ac:dyDescent="0.2">
      <c r="A393" s="1"/>
      <c r="B393" s="2"/>
      <c r="C393" s="3"/>
      <c r="S393" s="131"/>
      <c r="T393" s="131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  <c r="AJ393" s="23"/>
      <c r="AK393" s="23"/>
      <c r="AL393" s="23"/>
      <c r="AM393" s="1"/>
      <c r="AN393" s="1"/>
      <c r="AO393" s="1"/>
      <c r="AP393" s="1"/>
      <c r="AQ393" s="1"/>
      <c r="AR393" s="1"/>
      <c r="AS393" s="1"/>
      <c r="AT393" s="1"/>
      <c r="AU393" s="24"/>
      <c r="AV393" s="24"/>
      <c r="AW393" s="24"/>
      <c r="AX393" s="236"/>
      <c r="AY393" s="236"/>
      <c r="AZ393" s="236"/>
      <c r="BA393" s="236"/>
    </row>
    <row r="394" spans="1:53" s="51" customFormat="1" x14ac:dyDescent="0.2">
      <c r="A394" s="1"/>
      <c r="B394" s="2"/>
      <c r="C394" s="3"/>
      <c r="S394" s="131"/>
      <c r="T394" s="131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  <c r="AJ394" s="23"/>
      <c r="AK394" s="23"/>
      <c r="AL394" s="23"/>
      <c r="AM394" s="1"/>
      <c r="AN394" s="1"/>
      <c r="AO394" s="1"/>
      <c r="AP394" s="1"/>
      <c r="AQ394" s="1"/>
      <c r="AR394" s="1"/>
      <c r="AS394" s="1"/>
      <c r="AT394" s="1"/>
      <c r="AU394" s="24"/>
      <c r="AV394" s="24"/>
      <c r="AW394" s="24"/>
      <c r="AX394" s="236"/>
      <c r="AY394" s="236"/>
      <c r="AZ394" s="236"/>
      <c r="BA394" s="236"/>
    </row>
    <row r="395" spans="1:53" s="51" customFormat="1" x14ac:dyDescent="0.2">
      <c r="A395" s="1"/>
      <c r="B395" s="2"/>
      <c r="C395" s="3"/>
      <c r="S395" s="131"/>
      <c r="T395" s="131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  <c r="AJ395" s="23"/>
      <c r="AK395" s="23"/>
      <c r="AL395" s="23"/>
      <c r="AM395" s="1"/>
      <c r="AN395" s="1"/>
      <c r="AO395" s="1"/>
      <c r="AP395" s="1"/>
      <c r="AQ395" s="1"/>
      <c r="AR395" s="1"/>
      <c r="AS395" s="1"/>
      <c r="AT395" s="1"/>
      <c r="AU395" s="24"/>
      <c r="AV395" s="24"/>
      <c r="AW395" s="24"/>
      <c r="AX395" s="236"/>
      <c r="AY395" s="236"/>
      <c r="AZ395" s="236"/>
      <c r="BA395" s="236"/>
    </row>
    <row r="396" spans="1:53" s="51" customFormat="1" x14ac:dyDescent="0.2">
      <c r="A396" s="1"/>
      <c r="B396" s="2"/>
      <c r="C396" s="3"/>
      <c r="S396" s="131"/>
      <c r="T396" s="131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23"/>
      <c r="AK396" s="23"/>
      <c r="AL396" s="23"/>
      <c r="AM396" s="1"/>
      <c r="AN396" s="1"/>
      <c r="AO396" s="1"/>
      <c r="AP396" s="1"/>
      <c r="AQ396" s="1"/>
      <c r="AR396" s="1"/>
      <c r="AS396" s="1"/>
      <c r="AT396" s="1"/>
      <c r="AU396" s="24"/>
      <c r="AV396" s="24"/>
      <c r="AW396" s="24"/>
      <c r="AX396" s="236"/>
      <c r="AY396" s="236"/>
      <c r="AZ396" s="236"/>
      <c r="BA396" s="236"/>
    </row>
    <row r="397" spans="1:53" s="51" customFormat="1" x14ac:dyDescent="0.2">
      <c r="A397" s="1"/>
      <c r="B397" s="2"/>
      <c r="C397" s="3"/>
      <c r="S397" s="131"/>
      <c r="T397" s="131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  <c r="AK397" s="23"/>
      <c r="AL397" s="23"/>
      <c r="AM397" s="1"/>
      <c r="AN397" s="1"/>
      <c r="AO397" s="1"/>
      <c r="AP397" s="1"/>
      <c r="AQ397" s="1"/>
      <c r="AR397" s="1"/>
      <c r="AS397" s="1"/>
      <c r="AT397" s="1"/>
      <c r="AU397" s="24"/>
      <c r="AV397" s="24"/>
      <c r="AW397" s="24"/>
      <c r="AX397" s="236"/>
      <c r="AY397" s="236"/>
      <c r="AZ397" s="236"/>
      <c r="BA397" s="236"/>
    </row>
    <row r="398" spans="1:53" s="51" customFormat="1" x14ac:dyDescent="0.2">
      <c r="A398" s="1"/>
      <c r="B398" s="2"/>
      <c r="C398" s="3"/>
      <c r="S398" s="131"/>
      <c r="T398" s="131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  <c r="AK398" s="23"/>
      <c r="AL398" s="23"/>
      <c r="AM398" s="1"/>
      <c r="AN398" s="1"/>
      <c r="AO398" s="1"/>
      <c r="AP398" s="1"/>
      <c r="AQ398" s="1"/>
      <c r="AR398" s="1"/>
      <c r="AS398" s="1"/>
      <c r="AT398" s="1"/>
      <c r="AU398" s="24"/>
      <c r="AV398" s="24"/>
      <c r="AW398" s="24"/>
      <c r="AX398" s="236"/>
      <c r="AY398" s="236"/>
      <c r="AZ398" s="236"/>
      <c r="BA398" s="236"/>
    </row>
    <row r="399" spans="1:53" s="51" customFormat="1" x14ac:dyDescent="0.2">
      <c r="A399" s="1"/>
      <c r="B399" s="2"/>
      <c r="C399" s="3"/>
      <c r="S399" s="131"/>
      <c r="T399" s="131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  <c r="AK399" s="23"/>
      <c r="AL399" s="23"/>
      <c r="AM399" s="1"/>
      <c r="AN399" s="1"/>
      <c r="AO399" s="1"/>
      <c r="AP399" s="1"/>
      <c r="AQ399" s="1"/>
      <c r="AR399" s="1"/>
      <c r="AS399" s="1"/>
      <c r="AT399" s="1"/>
      <c r="AU399" s="24"/>
      <c r="AV399" s="24"/>
      <c r="AW399" s="24"/>
      <c r="AX399" s="236"/>
      <c r="AY399" s="236"/>
      <c r="AZ399" s="236"/>
      <c r="BA399" s="236"/>
    </row>
    <row r="400" spans="1:53" s="51" customFormat="1" x14ac:dyDescent="0.2">
      <c r="A400" s="1"/>
      <c r="B400" s="2"/>
      <c r="C400" s="3"/>
      <c r="S400" s="131"/>
      <c r="T400" s="131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  <c r="AJ400" s="23"/>
      <c r="AK400" s="23"/>
      <c r="AL400" s="23"/>
      <c r="AM400" s="1"/>
      <c r="AN400" s="1"/>
      <c r="AO400" s="1"/>
      <c r="AP400" s="1"/>
      <c r="AQ400" s="1"/>
      <c r="AR400" s="1"/>
      <c r="AS400" s="1"/>
      <c r="AT400" s="1"/>
      <c r="AU400" s="24"/>
      <c r="AV400" s="24"/>
      <c r="AW400" s="24"/>
      <c r="AX400" s="236"/>
      <c r="AY400" s="236"/>
      <c r="AZ400" s="236"/>
      <c r="BA400" s="236"/>
    </row>
    <row r="401" spans="1:53" s="51" customFormat="1" x14ac:dyDescent="0.2">
      <c r="A401" s="1"/>
      <c r="B401" s="2"/>
      <c r="C401" s="3"/>
      <c r="S401" s="131"/>
      <c r="T401" s="131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  <c r="AJ401" s="23"/>
      <c r="AK401" s="23"/>
      <c r="AL401" s="23"/>
      <c r="AM401" s="1"/>
      <c r="AN401" s="1"/>
      <c r="AO401" s="1"/>
      <c r="AP401" s="1"/>
      <c r="AQ401" s="1"/>
      <c r="AR401" s="1"/>
      <c r="AS401" s="1"/>
      <c r="AT401" s="1"/>
      <c r="AU401" s="24"/>
      <c r="AV401" s="24"/>
      <c r="AW401" s="24"/>
      <c r="AX401" s="236"/>
      <c r="AY401" s="236"/>
      <c r="AZ401" s="236"/>
      <c r="BA401" s="236"/>
    </row>
    <row r="402" spans="1:53" s="51" customFormat="1" x14ac:dyDescent="0.2">
      <c r="A402" s="1"/>
      <c r="B402" s="2"/>
      <c r="C402" s="3"/>
      <c r="S402" s="131"/>
      <c r="T402" s="131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  <c r="AJ402" s="23"/>
      <c r="AK402" s="23"/>
      <c r="AL402" s="23"/>
      <c r="AM402" s="1"/>
      <c r="AN402" s="1"/>
      <c r="AO402" s="1"/>
      <c r="AP402" s="1"/>
      <c r="AQ402" s="1"/>
      <c r="AR402" s="1"/>
      <c r="AS402" s="1"/>
      <c r="AT402" s="1"/>
      <c r="AU402" s="24"/>
      <c r="AV402" s="24"/>
      <c r="AW402" s="24"/>
      <c r="AX402" s="236"/>
      <c r="AY402" s="236"/>
      <c r="AZ402" s="236"/>
      <c r="BA402" s="236"/>
    </row>
    <row r="403" spans="1:53" s="51" customFormat="1" x14ac:dyDescent="0.2">
      <c r="A403" s="1"/>
      <c r="B403" s="2"/>
      <c r="C403" s="3"/>
      <c r="S403" s="131"/>
      <c r="T403" s="131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23"/>
      <c r="AK403" s="23"/>
      <c r="AL403" s="23"/>
      <c r="AM403" s="1"/>
      <c r="AN403" s="1"/>
      <c r="AO403" s="1"/>
      <c r="AP403" s="1"/>
      <c r="AQ403" s="1"/>
      <c r="AR403" s="1"/>
      <c r="AS403" s="1"/>
      <c r="AT403" s="1"/>
      <c r="AU403" s="24"/>
      <c r="AV403" s="24"/>
      <c r="AW403" s="24"/>
      <c r="AX403" s="236"/>
      <c r="AY403" s="236"/>
      <c r="AZ403" s="236"/>
      <c r="BA403" s="236"/>
    </row>
    <row r="404" spans="1:53" s="51" customFormat="1" x14ac:dyDescent="0.2">
      <c r="A404" s="1"/>
      <c r="B404" s="2"/>
      <c r="C404" s="3"/>
      <c r="S404" s="131"/>
      <c r="T404" s="131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  <c r="AJ404" s="23"/>
      <c r="AK404" s="23"/>
      <c r="AL404" s="23"/>
      <c r="AM404" s="1"/>
      <c r="AN404" s="1"/>
      <c r="AO404" s="1"/>
      <c r="AP404" s="1"/>
      <c r="AQ404" s="1"/>
      <c r="AR404" s="1"/>
      <c r="AS404" s="1"/>
      <c r="AT404" s="1"/>
      <c r="AU404" s="24"/>
      <c r="AV404" s="24"/>
      <c r="AW404" s="24"/>
      <c r="AX404" s="236"/>
      <c r="AY404" s="236"/>
      <c r="AZ404" s="236"/>
      <c r="BA404" s="236"/>
    </row>
    <row r="405" spans="1:53" s="51" customFormat="1" x14ac:dyDescent="0.2">
      <c r="A405" s="1"/>
      <c r="B405" s="2"/>
      <c r="C405" s="3"/>
      <c r="S405" s="131"/>
      <c r="T405" s="131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  <c r="AK405" s="23"/>
      <c r="AL405" s="23"/>
      <c r="AM405" s="1"/>
      <c r="AN405" s="1"/>
      <c r="AO405" s="1"/>
      <c r="AP405" s="1"/>
      <c r="AQ405" s="1"/>
      <c r="AR405" s="1"/>
      <c r="AS405" s="1"/>
      <c r="AT405" s="1"/>
      <c r="AU405" s="24"/>
      <c r="AV405" s="24"/>
      <c r="AW405" s="24"/>
      <c r="AX405" s="236"/>
      <c r="AY405" s="236"/>
      <c r="AZ405" s="236"/>
      <c r="BA405" s="236"/>
    </row>
    <row r="406" spans="1:53" s="51" customFormat="1" x14ac:dyDescent="0.2">
      <c r="A406" s="1"/>
      <c r="B406" s="2"/>
      <c r="C406" s="3"/>
      <c r="S406" s="131"/>
      <c r="T406" s="131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  <c r="AJ406" s="23"/>
      <c r="AK406" s="23"/>
      <c r="AL406" s="23"/>
      <c r="AM406" s="1"/>
      <c r="AN406" s="1"/>
      <c r="AO406" s="1"/>
      <c r="AP406" s="1"/>
      <c r="AQ406" s="1"/>
      <c r="AR406" s="1"/>
      <c r="AS406" s="1"/>
      <c r="AT406" s="1"/>
      <c r="AU406" s="24"/>
      <c r="AV406" s="24"/>
      <c r="AW406" s="24"/>
      <c r="AX406" s="236"/>
      <c r="AY406" s="236"/>
      <c r="AZ406" s="236"/>
      <c r="BA406" s="236"/>
    </row>
    <row r="407" spans="1:53" s="51" customFormat="1" x14ac:dyDescent="0.2">
      <c r="A407" s="1"/>
      <c r="B407" s="2"/>
      <c r="C407" s="3"/>
      <c r="S407" s="131"/>
      <c r="T407" s="131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23"/>
      <c r="AK407" s="23"/>
      <c r="AL407" s="23"/>
      <c r="AM407" s="1"/>
      <c r="AN407" s="1"/>
      <c r="AO407" s="1"/>
      <c r="AP407" s="1"/>
      <c r="AQ407" s="1"/>
      <c r="AR407" s="1"/>
      <c r="AS407" s="1"/>
      <c r="AT407" s="1"/>
      <c r="AU407" s="24"/>
      <c r="AV407" s="24"/>
      <c r="AW407" s="24"/>
      <c r="AX407" s="236"/>
      <c r="AY407" s="236"/>
      <c r="AZ407" s="236"/>
      <c r="BA407" s="236"/>
    </row>
    <row r="408" spans="1:53" s="51" customFormat="1" x14ac:dyDescent="0.2">
      <c r="A408" s="1"/>
      <c r="B408" s="2"/>
      <c r="C408" s="3"/>
      <c r="S408" s="131"/>
      <c r="T408" s="131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  <c r="AJ408" s="23"/>
      <c r="AK408" s="23"/>
      <c r="AL408" s="23"/>
      <c r="AM408" s="1"/>
      <c r="AN408" s="1"/>
      <c r="AO408" s="1"/>
      <c r="AP408" s="1"/>
      <c r="AQ408" s="1"/>
      <c r="AR408" s="1"/>
      <c r="AS408" s="1"/>
      <c r="AT408" s="1"/>
      <c r="AU408" s="24"/>
      <c r="AV408" s="24"/>
      <c r="AW408" s="24"/>
      <c r="AX408" s="236"/>
      <c r="AY408" s="236"/>
      <c r="AZ408" s="236"/>
      <c r="BA408" s="236"/>
    </row>
    <row r="409" spans="1:53" s="51" customFormat="1" x14ac:dyDescent="0.2">
      <c r="A409" s="1"/>
      <c r="B409" s="2"/>
      <c r="C409" s="3"/>
      <c r="S409" s="131"/>
      <c r="T409" s="131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  <c r="AJ409" s="23"/>
      <c r="AK409" s="23"/>
      <c r="AL409" s="23"/>
      <c r="AM409" s="1"/>
      <c r="AN409" s="1"/>
      <c r="AO409" s="1"/>
      <c r="AP409" s="1"/>
      <c r="AQ409" s="1"/>
      <c r="AR409" s="1"/>
      <c r="AS409" s="1"/>
      <c r="AT409" s="1"/>
      <c r="AU409" s="24"/>
      <c r="AV409" s="24"/>
      <c r="AW409" s="24"/>
      <c r="AX409" s="236"/>
      <c r="AY409" s="236"/>
      <c r="AZ409" s="236"/>
      <c r="BA409" s="236"/>
    </row>
    <row r="410" spans="1:53" s="51" customFormat="1" x14ac:dyDescent="0.2">
      <c r="A410" s="1"/>
      <c r="B410" s="2"/>
      <c r="C410" s="3"/>
      <c r="S410" s="131"/>
      <c r="T410" s="131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23"/>
      <c r="AK410" s="23"/>
      <c r="AL410" s="23"/>
      <c r="AM410" s="1"/>
      <c r="AN410" s="1"/>
      <c r="AO410" s="1"/>
      <c r="AP410" s="1"/>
      <c r="AQ410" s="1"/>
      <c r="AR410" s="1"/>
      <c r="AS410" s="1"/>
      <c r="AT410" s="1"/>
      <c r="AU410" s="24"/>
      <c r="AV410" s="24"/>
      <c r="AW410" s="24"/>
      <c r="AX410" s="236"/>
      <c r="AY410" s="236"/>
      <c r="AZ410" s="236"/>
      <c r="BA410" s="236"/>
    </row>
    <row r="411" spans="1:53" s="51" customFormat="1" x14ac:dyDescent="0.2">
      <c r="A411" s="1"/>
      <c r="B411" s="2"/>
      <c r="C411" s="3"/>
      <c r="S411" s="131"/>
      <c r="T411" s="131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3"/>
      <c r="AJ411" s="23"/>
      <c r="AK411" s="23"/>
      <c r="AL411" s="23"/>
      <c r="AM411" s="1"/>
      <c r="AN411" s="1"/>
      <c r="AO411" s="1"/>
      <c r="AP411" s="1"/>
      <c r="AQ411" s="1"/>
      <c r="AR411" s="1"/>
      <c r="AS411" s="1"/>
      <c r="AT411" s="1"/>
      <c r="AU411" s="24"/>
      <c r="AV411" s="24"/>
      <c r="AW411" s="24"/>
      <c r="AX411" s="236"/>
      <c r="AY411" s="236"/>
      <c r="AZ411" s="236"/>
      <c r="BA411" s="236"/>
    </row>
    <row r="412" spans="1:53" s="51" customFormat="1" x14ac:dyDescent="0.2">
      <c r="A412" s="1"/>
      <c r="B412" s="2"/>
      <c r="C412" s="3"/>
      <c r="S412" s="131"/>
      <c r="T412" s="131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  <c r="AG412" s="23"/>
      <c r="AH412" s="23"/>
      <c r="AI412" s="23"/>
      <c r="AJ412" s="23"/>
      <c r="AK412" s="23"/>
      <c r="AL412" s="23"/>
      <c r="AM412" s="1"/>
      <c r="AN412" s="1"/>
      <c r="AO412" s="1"/>
      <c r="AP412" s="1"/>
      <c r="AQ412" s="1"/>
      <c r="AR412" s="1"/>
      <c r="AS412" s="1"/>
      <c r="AT412" s="1"/>
      <c r="AU412" s="24"/>
      <c r="AV412" s="24"/>
      <c r="AW412" s="24"/>
      <c r="AX412" s="236"/>
      <c r="AY412" s="236"/>
      <c r="AZ412" s="236"/>
      <c r="BA412" s="236"/>
    </row>
    <row r="413" spans="1:53" s="51" customFormat="1" x14ac:dyDescent="0.2">
      <c r="A413" s="1"/>
      <c r="B413" s="2"/>
      <c r="C413" s="3"/>
      <c r="S413" s="131"/>
      <c r="T413" s="131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  <c r="AG413" s="23"/>
      <c r="AH413" s="23"/>
      <c r="AI413" s="23"/>
      <c r="AJ413" s="23"/>
      <c r="AK413" s="23"/>
      <c r="AL413" s="23"/>
      <c r="AM413" s="1"/>
      <c r="AN413" s="1"/>
      <c r="AO413" s="1"/>
      <c r="AP413" s="1"/>
      <c r="AQ413" s="1"/>
      <c r="AR413" s="1"/>
      <c r="AS413" s="1"/>
      <c r="AT413" s="1"/>
      <c r="AU413" s="24"/>
      <c r="AV413" s="24"/>
      <c r="AW413" s="24"/>
      <c r="AX413" s="236"/>
      <c r="AY413" s="236"/>
      <c r="AZ413" s="236"/>
      <c r="BA413" s="236"/>
    </row>
    <row r="414" spans="1:53" s="51" customFormat="1" x14ac:dyDescent="0.2">
      <c r="A414" s="1"/>
      <c r="B414" s="2"/>
      <c r="C414" s="3"/>
      <c r="S414" s="131"/>
      <c r="T414" s="131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3"/>
      <c r="AJ414" s="23"/>
      <c r="AK414" s="23"/>
      <c r="AL414" s="23"/>
      <c r="AM414" s="1"/>
      <c r="AN414" s="1"/>
      <c r="AO414" s="1"/>
      <c r="AP414" s="1"/>
      <c r="AQ414" s="1"/>
      <c r="AR414" s="1"/>
      <c r="AS414" s="1"/>
      <c r="AT414" s="1"/>
      <c r="AU414" s="24"/>
      <c r="AV414" s="24"/>
      <c r="AW414" s="24"/>
      <c r="AX414" s="236"/>
      <c r="AY414" s="236"/>
      <c r="AZ414" s="236"/>
      <c r="BA414" s="236"/>
    </row>
    <row r="415" spans="1:53" s="51" customFormat="1" x14ac:dyDescent="0.2">
      <c r="A415" s="1"/>
      <c r="B415" s="2"/>
      <c r="C415" s="3"/>
      <c r="S415" s="131"/>
      <c r="T415" s="131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3"/>
      <c r="AJ415" s="23"/>
      <c r="AK415" s="23"/>
      <c r="AL415" s="23"/>
      <c r="AM415" s="1"/>
      <c r="AN415" s="1"/>
      <c r="AO415" s="1"/>
      <c r="AP415" s="1"/>
      <c r="AQ415" s="1"/>
      <c r="AR415" s="1"/>
      <c r="AS415" s="1"/>
      <c r="AT415" s="1"/>
      <c r="AU415" s="24"/>
      <c r="AV415" s="24"/>
      <c r="AW415" s="24"/>
      <c r="AX415" s="236"/>
      <c r="AY415" s="236"/>
      <c r="AZ415" s="236"/>
      <c r="BA415" s="236"/>
    </row>
    <row r="416" spans="1:53" s="51" customFormat="1" x14ac:dyDescent="0.2">
      <c r="A416" s="1"/>
      <c r="B416" s="2"/>
      <c r="C416" s="3"/>
      <c r="S416" s="131"/>
      <c r="T416" s="131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23"/>
      <c r="AH416" s="23"/>
      <c r="AI416" s="23"/>
      <c r="AJ416" s="23"/>
      <c r="AK416" s="23"/>
      <c r="AL416" s="23"/>
      <c r="AM416" s="1"/>
      <c r="AN416" s="1"/>
      <c r="AO416" s="1"/>
      <c r="AP416" s="1"/>
      <c r="AQ416" s="1"/>
      <c r="AR416" s="1"/>
      <c r="AS416" s="1"/>
      <c r="AT416" s="1"/>
      <c r="AU416" s="24"/>
      <c r="AV416" s="24"/>
      <c r="AW416" s="24"/>
      <c r="AX416" s="236"/>
      <c r="AY416" s="236"/>
      <c r="AZ416" s="236"/>
      <c r="BA416" s="236"/>
    </row>
    <row r="417" spans="1:53" s="51" customFormat="1" x14ac:dyDescent="0.2">
      <c r="A417" s="1"/>
      <c r="B417" s="2"/>
      <c r="C417" s="3"/>
      <c r="S417" s="131"/>
      <c r="T417" s="131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/>
      <c r="AI417" s="23"/>
      <c r="AJ417" s="23"/>
      <c r="AK417" s="23"/>
      <c r="AL417" s="23"/>
      <c r="AM417" s="1"/>
      <c r="AN417" s="1"/>
      <c r="AO417" s="1"/>
      <c r="AP417" s="1"/>
      <c r="AQ417" s="1"/>
      <c r="AR417" s="1"/>
      <c r="AS417" s="1"/>
      <c r="AT417" s="1"/>
      <c r="AU417" s="24"/>
      <c r="AV417" s="24"/>
      <c r="AW417" s="24"/>
      <c r="AX417" s="236"/>
      <c r="AY417" s="236"/>
      <c r="AZ417" s="236"/>
      <c r="BA417" s="236"/>
    </row>
    <row r="418" spans="1:53" s="51" customFormat="1" x14ac:dyDescent="0.2">
      <c r="A418" s="1"/>
      <c r="B418" s="2"/>
      <c r="C418" s="3"/>
      <c r="S418" s="131"/>
      <c r="T418" s="131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3"/>
      <c r="AJ418" s="23"/>
      <c r="AK418" s="23"/>
      <c r="AL418" s="23"/>
      <c r="AM418" s="1"/>
      <c r="AN418" s="1"/>
      <c r="AO418" s="1"/>
      <c r="AP418" s="1"/>
      <c r="AQ418" s="1"/>
      <c r="AR418" s="1"/>
      <c r="AS418" s="1"/>
      <c r="AT418" s="1"/>
      <c r="AU418" s="24"/>
      <c r="AV418" s="24"/>
      <c r="AW418" s="24"/>
      <c r="AX418" s="236"/>
      <c r="AY418" s="236"/>
      <c r="AZ418" s="236"/>
      <c r="BA418" s="236"/>
    </row>
    <row r="419" spans="1:53" s="51" customFormat="1" x14ac:dyDescent="0.2">
      <c r="A419" s="1"/>
      <c r="B419" s="2"/>
      <c r="C419" s="3"/>
      <c r="S419" s="131"/>
      <c r="T419" s="131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  <c r="AK419" s="23"/>
      <c r="AL419" s="23"/>
      <c r="AM419" s="1"/>
      <c r="AN419" s="1"/>
      <c r="AO419" s="1"/>
      <c r="AP419" s="1"/>
      <c r="AQ419" s="1"/>
      <c r="AR419" s="1"/>
      <c r="AS419" s="1"/>
      <c r="AT419" s="1"/>
      <c r="AU419" s="24"/>
      <c r="AV419" s="24"/>
      <c r="AW419" s="24"/>
      <c r="AX419" s="236"/>
      <c r="AY419" s="236"/>
      <c r="AZ419" s="236"/>
      <c r="BA419" s="236"/>
    </row>
    <row r="420" spans="1:53" s="51" customFormat="1" x14ac:dyDescent="0.2">
      <c r="A420" s="1"/>
      <c r="B420" s="2"/>
      <c r="C420" s="3"/>
      <c r="S420" s="131"/>
      <c r="T420" s="131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23"/>
      <c r="AK420" s="23"/>
      <c r="AL420" s="23"/>
      <c r="AM420" s="1"/>
      <c r="AN420" s="1"/>
      <c r="AO420" s="1"/>
      <c r="AP420" s="1"/>
      <c r="AQ420" s="1"/>
      <c r="AR420" s="1"/>
      <c r="AS420" s="1"/>
      <c r="AT420" s="1"/>
      <c r="AU420" s="24"/>
      <c r="AV420" s="24"/>
      <c r="AW420" s="24"/>
      <c r="AX420" s="236"/>
      <c r="AY420" s="236"/>
      <c r="AZ420" s="236"/>
      <c r="BA420" s="236"/>
    </row>
    <row r="421" spans="1:53" s="51" customFormat="1" x14ac:dyDescent="0.2">
      <c r="A421" s="1"/>
      <c r="B421" s="2"/>
      <c r="C421" s="3"/>
      <c r="S421" s="131"/>
      <c r="T421" s="131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  <c r="AJ421" s="23"/>
      <c r="AK421" s="23"/>
      <c r="AL421" s="23"/>
      <c r="AM421" s="1"/>
      <c r="AN421" s="1"/>
      <c r="AO421" s="1"/>
      <c r="AP421" s="1"/>
      <c r="AQ421" s="1"/>
      <c r="AR421" s="1"/>
      <c r="AS421" s="1"/>
      <c r="AT421" s="1"/>
      <c r="AU421" s="24"/>
      <c r="AV421" s="24"/>
      <c r="AW421" s="24"/>
      <c r="AX421" s="236"/>
      <c r="AY421" s="236"/>
      <c r="AZ421" s="236"/>
      <c r="BA421" s="236"/>
    </row>
    <row r="422" spans="1:53" s="51" customFormat="1" x14ac:dyDescent="0.2">
      <c r="A422" s="1"/>
      <c r="B422" s="2"/>
      <c r="C422" s="3"/>
      <c r="S422" s="131"/>
      <c r="T422" s="131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3"/>
      <c r="AJ422" s="23"/>
      <c r="AK422" s="23"/>
      <c r="AL422" s="23"/>
      <c r="AM422" s="1"/>
      <c r="AN422" s="1"/>
      <c r="AO422" s="1"/>
      <c r="AP422" s="1"/>
      <c r="AQ422" s="1"/>
      <c r="AR422" s="1"/>
      <c r="AS422" s="1"/>
      <c r="AT422" s="1"/>
      <c r="AU422" s="24"/>
      <c r="AV422" s="24"/>
      <c r="AW422" s="24"/>
      <c r="AX422" s="236"/>
      <c r="AY422" s="236"/>
      <c r="AZ422" s="236"/>
      <c r="BA422" s="236"/>
    </row>
    <row r="423" spans="1:53" s="51" customFormat="1" x14ac:dyDescent="0.2">
      <c r="A423" s="1"/>
      <c r="B423" s="2"/>
      <c r="C423" s="3"/>
      <c r="S423" s="131"/>
      <c r="T423" s="131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  <c r="AJ423" s="23"/>
      <c r="AK423" s="23"/>
      <c r="AL423" s="23"/>
      <c r="AM423" s="1"/>
      <c r="AN423" s="1"/>
      <c r="AO423" s="1"/>
      <c r="AP423" s="1"/>
      <c r="AQ423" s="1"/>
      <c r="AR423" s="1"/>
      <c r="AS423" s="1"/>
      <c r="AT423" s="1"/>
      <c r="AU423" s="24"/>
      <c r="AV423" s="24"/>
      <c r="AW423" s="24"/>
      <c r="AX423" s="236"/>
      <c r="AY423" s="236"/>
      <c r="AZ423" s="236"/>
      <c r="BA423" s="236"/>
    </row>
    <row r="424" spans="1:53" s="51" customFormat="1" x14ac:dyDescent="0.2">
      <c r="A424" s="1"/>
      <c r="B424" s="2"/>
      <c r="C424" s="3"/>
      <c r="S424" s="131"/>
      <c r="T424" s="131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  <c r="AG424" s="23"/>
      <c r="AH424" s="23"/>
      <c r="AI424" s="23"/>
      <c r="AJ424" s="23"/>
      <c r="AK424" s="23"/>
      <c r="AL424" s="23"/>
      <c r="AM424" s="1"/>
      <c r="AN424" s="1"/>
      <c r="AO424" s="1"/>
      <c r="AP424" s="1"/>
      <c r="AQ424" s="1"/>
      <c r="AR424" s="1"/>
      <c r="AS424" s="1"/>
      <c r="AT424" s="1"/>
      <c r="AU424" s="24"/>
      <c r="AV424" s="24"/>
      <c r="AW424" s="24"/>
      <c r="AX424" s="236"/>
      <c r="AY424" s="236"/>
      <c r="AZ424" s="236"/>
      <c r="BA424" s="236"/>
    </row>
    <row r="425" spans="1:53" s="51" customFormat="1" x14ac:dyDescent="0.2">
      <c r="A425" s="1"/>
      <c r="B425" s="2"/>
      <c r="C425" s="3"/>
      <c r="S425" s="131"/>
      <c r="T425" s="131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  <c r="AG425" s="23"/>
      <c r="AH425" s="23"/>
      <c r="AI425" s="23"/>
      <c r="AJ425" s="23"/>
      <c r="AK425" s="23"/>
      <c r="AL425" s="23"/>
      <c r="AM425" s="1"/>
      <c r="AN425" s="1"/>
      <c r="AO425" s="1"/>
      <c r="AP425" s="1"/>
      <c r="AQ425" s="1"/>
      <c r="AR425" s="1"/>
      <c r="AS425" s="1"/>
      <c r="AT425" s="1"/>
      <c r="AU425" s="24"/>
      <c r="AV425" s="24"/>
      <c r="AW425" s="24"/>
      <c r="AX425" s="236"/>
      <c r="AY425" s="236"/>
      <c r="AZ425" s="236"/>
      <c r="BA425" s="236"/>
    </row>
    <row r="426" spans="1:53" s="51" customFormat="1" x14ac:dyDescent="0.2">
      <c r="A426" s="1"/>
      <c r="B426" s="2"/>
      <c r="C426" s="3"/>
      <c r="S426" s="131"/>
      <c r="T426" s="131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3"/>
      <c r="AJ426" s="23"/>
      <c r="AK426" s="23"/>
      <c r="AL426" s="23"/>
      <c r="AM426" s="1"/>
      <c r="AN426" s="1"/>
      <c r="AO426" s="1"/>
      <c r="AP426" s="1"/>
      <c r="AQ426" s="1"/>
      <c r="AR426" s="1"/>
      <c r="AS426" s="1"/>
      <c r="AT426" s="1"/>
      <c r="AU426" s="24"/>
      <c r="AV426" s="24"/>
      <c r="AW426" s="24"/>
      <c r="AX426" s="236"/>
      <c r="AY426" s="236"/>
      <c r="AZ426" s="236"/>
      <c r="BA426" s="236"/>
    </row>
    <row r="427" spans="1:53" s="51" customFormat="1" x14ac:dyDescent="0.2">
      <c r="A427" s="1"/>
      <c r="B427" s="2"/>
      <c r="C427" s="3"/>
      <c r="S427" s="131"/>
      <c r="T427" s="131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  <c r="AJ427" s="23"/>
      <c r="AK427" s="23"/>
      <c r="AL427" s="23"/>
      <c r="AM427" s="1"/>
      <c r="AN427" s="1"/>
      <c r="AO427" s="1"/>
      <c r="AP427" s="1"/>
      <c r="AQ427" s="1"/>
      <c r="AR427" s="1"/>
      <c r="AS427" s="1"/>
      <c r="AT427" s="1"/>
      <c r="AU427" s="24"/>
      <c r="AV427" s="24"/>
      <c r="AW427" s="24"/>
      <c r="AX427" s="236"/>
      <c r="AY427" s="236"/>
      <c r="AZ427" s="236"/>
      <c r="BA427" s="236"/>
    </row>
    <row r="428" spans="1:53" s="51" customFormat="1" x14ac:dyDescent="0.2">
      <c r="A428" s="1"/>
      <c r="B428" s="2"/>
      <c r="C428" s="3"/>
      <c r="S428" s="131"/>
      <c r="T428" s="131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23"/>
      <c r="AH428" s="23"/>
      <c r="AI428" s="23"/>
      <c r="AJ428" s="23"/>
      <c r="AK428" s="23"/>
      <c r="AL428" s="23"/>
      <c r="AM428" s="1"/>
      <c r="AN428" s="1"/>
      <c r="AO428" s="1"/>
      <c r="AP428" s="1"/>
      <c r="AQ428" s="1"/>
      <c r="AR428" s="1"/>
      <c r="AS428" s="1"/>
      <c r="AT428" s="1"/>
      <c r="AU428" s="24"/>
      <c r="AV428" s="24"/>
      <c r="AW428" s="24"/>
      <c r="AX428" s="236"/>
      <c r="AY428" s="236"/>
      <c r="AZ428" s="236"/>
      <c r="BA428" s="236"/>
    </row>
    <row r="429" spans="1:53" s="51" customFormat="1" x14ac:dyDescent="0.2">
      <c r="A429" s="1"/>
      <c r="B429" s="2"/>
      <c r="C429" s="3"/>
      <c r="S429" s="131"/>
      <c r="T429" s="131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  <c r="AG429" s="23"/>
      <c r="AH429" s="23"/>
      <c r="AI429" s="23"/>
      <c r="AJ429" s="23"/>
      <c r="AK429" s="23"/>
      <c r="AL429" s="23"/>
      <c r="AM429" s="1"/>
      <c r="AN429" s="1"/>
      <c r="AO429" s="1"/>
      <c r="AP429" s="1"/>
      <c r="AQ429" s="1"/>
      <c r="AR429" s="1"/>
      <c r="AS429" s="1"/>
      <c r="AT429" s="1"/>
      <c r="AU429" s="24"/>
      <c r="AV429" s="24"/>
      <c r="AW429" s="24"/>
      <c r="AX429" s="236"/>
      <c r="AY429" s="236"/>
      <c r="AZ429" s="236"/>
      <c r="BA429" s="236"/>
    </row>
    <row r="430" spans="1:53" s="51" customFormat="1" x14ac:dyDescent="0.2">
      <c r="A430" s="1"/>
      <c r="B430" s="2"/>
      <c r="C430" s="3"/>
      <c r="S430" s="131"/>
      <c r="T430" s="131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  <c r="AG430" s="23"/>
      <c r="AH430" s="23"/>
      <c r="AI430" s="23"/>
      <c r="AJ430" s="23"/>
      <c r="AK430" s="23"/>
      <c r="AL430" s="23"/>
      <c r="AM430" s="1"/>
      <c r="AN430" s="1"/>
      <c r="AO430" s="1"/>
      <c r="AP430" s="1"/>
      <c r="AQ430" s="1"/>
      <c r="AR430" s="1"/>
      <c r="AS430" s="1"/>
      <c r="AT430" s="1"/>
      <c r="AU430" s="24"/>
      <c r="AV430" s="24"/>
      <c r="AW430" s="24"/>
      <c r="AX430" s="236"/>
      <c r="AY430" s="236"/>
      <c r="AZ430" s="236"/>
      <c r="BA430" s="236"/>
    </row>
    <row r="431" spans="1:53" s="51" customFormat="1" x14ac:dyDescent="0.2">
      <c r="A431" s="1"/>
      <c r="B431" s="2"/>
      <c r="C431" s="3"/>
      <c r="S431" s="131"/>
      <c r="T431" s="131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  <c r="AH431" s="23"/>
      <c r="AI431" s="23"/>
      <c r="AJ431" s="23"/>
      <c r="AK431" s="23"/>
      <c r="AL431" s="23"/>
      <c r="AM431" s="1"/>
      <c r="AN431" s="1"/>
      <c r="AO431" s="1"/>
      <c r="AP431" s="1"/>
      <c r="AQ431" s="1"/>
      <c r="AR431" s="1"/>
      <c r="AS431" s="1"/>
      <c r="AT431" s="1"/>
      <c r="AU431" s="24"/>
      <c r="AV431" s="24"/>
      <c r="AW431" s="24"/>
      <c r="AX431" s="236"/>
      <c r="AY431" s="236"/>
      <c r="AZ431" s="236"/>
      <c r="BA431" s="236"/>
    </row>
    <row r="432" spans="1:53" s="51" customFormat="1" x14ac:dyDescent="0.2">
      <c r="A432" s="1"/>
      <c r="B432" s="2"/>
      <c r="C432" s="3"/>
      <c r="S432" s="131"/>
      <c r="T432" s="131"/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  <c r="AG432" s="23"/>
      <c r="AH432" s="23"/>
      <c r="AI432" s="23"/>
      <c r="AJ432" s="23"/>
      <c r="AK432" s="23"/>
      <c r="AL432" s="23"/>
      <c r="AM432" s="1"/>
      <c r="AN432" s="1"/>
      <c r="AO432" s="1"/>
      <c r="AP432" s="1"/>
      <c r="AQ432" s="1"/>
      <c r="AR432" s="1"/>
      <c r="AS432" s="1"/>
      <c r="AT432" s="1"/>
      <c r="AU432" s="24"/>
      <c r="AV432" s="24"/>
      <c r="AW432" s="24"/>
      <c r="AX432" s="236"/>
      <c r="AY432" s="236"/>
      <c r="AZ432" s="236"/>
      <c r="BA432" s="236"/>
    </row>
    <row r="433" spans="1:53" s="51" customFormat="1" x14ac:dyDescent="0.2">
      <c r="A433" s="1"/>
      <c r="B433" s="2"/>
      <c r="C433" s="3"/>
      <c r="S433" s="131"/>
      <c r="T433" s="131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  <c r="AJ433" s="23"/>
      <c r="AK433" s="23"/>
      <c r="AL433" s="23"/>
      <c r="AM433" s="1"/>
      <c r="AN433" s="1"/>
      <c r="AO433" s="1"/>
      <c r="AP433" s="1"/>
      <c r="AQ433" s="1"/>
      <c r="AR433" s="1"/>
      <c r="AS433" s="1"/>
      <c r="AT433" s="1"/>
      <c r="AU433" s="24"/>
      <c r="AV433" s="24"/>
      <c r="AW433" s="24"/>
      <c r="AX433" s="236"/>
      <c r="AY433" s="236"/>
      <c r="AZ433" s="236"/>
      <c r="BA433" s="236"/>
    </row>
    <row r="434" spans="1:53" s="51" customFormat="1" x14ac:dyDescent="0.2">
      <c r="A434" s="1"/>
      <c r="B434" s="2"/>
      <c r="C434" s="3"/>
      <c r="S434" s="131"/>
      <c r="T434" s="131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  <c r="AJ434" s="23"/>
      <c r="AK434" s="23"/>
      <c r="AL434" s="23"/>
      <c r="AM434" s="1"/>
      <c r="AN434" s="1"/>
      <c r="AO434" s="1"/>
      <c r="AP434" s="1"/>
      <c r="AQ434" s="1"/>
      <c r="AR434" s="1"/>
      <c r="AS434" s="1"/>
      <c r="AT434" s="1"/>
      <c r="AU434" s="24"/>
      <c r="AV434" s="24"/>
      <c r="AW434" s="24"/>
      <c r="AX434" s="236"/>
      <c r="AY434" s="236"/>
      <c r="AZ434" s="236"/>
      <c r="BA434" s="236"/>
    </row>
    <row r="435" spans="1:53" s="51" customFormat="1" x14ac:dyDescent="0.2">
      <c r="A435" s="1"/>
      <c r="B435" s="2"/>
      <c r="C435" s="3"/>
      <c r="S435" s="131"/>
      <c r="T435" s="131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23"/>
      <c r="AK435" s="23"/>
      <c r="AL435" s="23"/>
      <c r="AM435" s="1"/>
      <c r="AN435" s="1"/>
      <c r="AO435" s="1"/>
      <c r="AP435" s="1"/>
      <c r="AQ435" s="1"/>
      <c r="AR435" s="1"/>
      <c r="AS435" s="1"/>
      <c r="AT435" s="1"/>
      <c r="AU435" s="24"/>
      <c r="AV435" s="24"/>
      <c r="AW435" s="24"/>
      <c r="AX435" s="236"/>
      <c r="AY435" s="236"/>
      <c r="AZ435" s="236"/>
      <c r="BA435" s="236"/>
    </row>
    <row r="436" spans="1:53" s="51" customFormat="1" x14ac:dyDescent="0.2">
      <c r="A436" s="1"/>
      <c r="B436" s="2"/>
      <c r="C436" s="3"/>
      <c r="S436" s="131"/>
      <c r="T436" s="131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  <c r="AJ436" s="23"/>
      <c r="AK436" s="23"/>
      <c r="AL436" s="23"/>
      <c r="AM436" s="1"/>
      <c r="AN436" s="1"/>
      <c r="AO436" s="1"/>
      <c r="AP436" s="1"/>
      <c r="AQ436" s="1"/>
      <c r="AR436" s="1"/>
      <c r="AS436" s="1"/>
      <c r="AT436" s="1"/>
      <c r="AU436" s="24"/>
      <c r="AV436" s="24"/>
      <c r="AW436" s="24"/>
      <c r="AX436" s="236"/>
      <c r="AY436" s="236"/>
      <c r="AZ436" s="236"/>
      <c r="BA436" s="236"/>
    </row>
    <row r="437" spans="1:53" s="51" customFormat="1" x14ac:dyDescent="0.2">
      <c r="A437" s="1"/>
      <c r="B437" s="2"/>
      <c r="C437" s="3"/>
      <c r="S437" s="131"/>
      <c r="T437" s="131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  <c r="AJ437" s="23"/>
      <c r="AK437" s="23"/>
      <c r="AL437" s="23"/>
      <c r="AM437" s="1"/>
      <c r="AN437" s="1"/>
      <c r="AO437" s="1"/>
      <c r="AP437" s="1"/>
      <c r="AQ437" s="1"/>
      <c r="AR437" s="1"/>
      <c r="AS437" s="1"/>
      <c r="AT437" s="1"/>
      <c r="AU437" s="24"/>
      <c r="AV437" s="24"/>
      <c r="AW437" s="24"/>
      <c r="AX437" s="236"/>
      <c r="AY437" s="236"/>
      <c r="AZ437" s="236"/>
      <c r="BA437" s="236"/>
    </row>
    <row r="438" spans="1:53" s="51" customFormat="1" x14ac:dyDescent="0.2">
      <c r="A438" s="1"/>
      <c r="B438" s="2"/>
      <c r="C438" s="3"/>
      <c r="S438" s="131"/>
      <c r="T438" s="131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  <c r="AJ438" s="23"/>
      <c r="AK438" s="23"/>
      <c r="AL438" s="23"/>
      <c r="AM438" s="1"/>
      <c r="AN438" s="1"/>
      <c r="AO438" s="1"/>
      <c r="AP438" s="1"/>
      <c r="AQ438" s="1"/>
      <c r="AR438" s="1"/>
      <c r="AS438" s="1"/>
      <c r="AT438" s="1"/>
      <c r="AU438" s="24"/>
      <c r="AV438" s="24"/>
      <c r="AW438" s="24"/>
      <c r="AX438" s="236"/>
      <c r="AY438" s="236"/>
      <c r="AZ438" s="236"/>
      <c r="BA438" s="236"/>
    </row>
    <row r="439" spans="1:53" s="51" customFormat="1" x14ac:dyDescent="0.2">
      <c r="A439" s="1"/>
      <c r="B439" s="2"/>
      <c r="C439" s="3"/>
      <c r="S439" s="131"/>
      <c r="T439" s="131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  <c r="AJ439" s="23"/>
      <c r="AK439" s="23"/>
      <c r="AL439" s="23"/>
      <c r="AM439" s="1"/>
      <c r="AN439" s="1"/>
      <c r="AO439" s="1"/>
      <c r="AP439" s="1"/>
      <c r="AQ439" s="1"/>
      <c r="AR439" s="1"/>
      <c r="AS439" s="1"/>
      <c r="AT439" s="1"/>
      <c r="AU439" s="24"/>
      <c r="AV439" s="24"/>
      <c r="AW439" s="24"/>
      <c r="AX439" s="236"/>
      <c r="AY439" s="236"/>
      <c r="AZ439" s="236"/>
      <c r="BA439" s="236"/>
    </row>
    <row r="440" spans="1:53" s="51" customFormat="1" x14ac:dyDescent="0.2">
      <c r="A440" s="1"/>
      <c r="B440" s="2"/>
      <c r="C440" s="3"/>
      <c r="S440" s="131"/>
      <c r="T440" s="131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  <c r="AJ440" s="23"/>
      <c r="AK440" s="23"/>
      <c r="AL440" s="23"/>
      <c r="AM440" s="1"/>
      <c r="AN440" s="1"/>
      <c r="AO440" s="1"/>
      <c r="AP440" s="1"/>
      <c r="AQ440" s="1"/>
      <c r="AR440" s="1"/>
      <c r="AS440" s="1"/>
      <c r="AT440" s="1"/>
      <c r="AU440" s="24"/>
      <c r="AV440" s="24"/>
      <c r="AW440" s="24"/>
      <c r="AX440" s="236"/>
      <c r="AY440" s="236"/>
      <c r="AZ440" s="236"/>
      <c r="BA440" s="236"/>
    </row>
    <row r="441" spans="1:53" s="51" customFormat="1" x14ac:dyDescent="0.2">
      <c r="A441" s="1"/>
      <c r="B441" s="2"/>
      <c r="C441" s="3"/>
      <c r="S441" s="131"/>
      <c r="T441" s="131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  <c r="AJ441" s="23"/>
      <c r="AK441" s="23"/>
      <c r="AL441" s="23"/>
      <c r="AM441" s="1"/>
      <c r="AN441" s="1"/>
      <c r="AO441" s="1"/>
      <c r="AP441" s="1"/>
      <c r="AQ441" s="1"/>
      <c r="AR441" s="1"/>
      <c r="AS441" s="1"/>
      <c r="AT441" s="1"/>
      <c r="AU441" s="24"/>
      <c r="AV441" s="24"/>
      <c r="AW441" s="24"/>
      <c r="AX441" s="236"/>
      <c r="AY441" s="236"/>
      <c r="AZ441" s="236"/>
      <c r="BA441" s="236"/>
    </row>
    <row r="442" spans="1:53" s="51" customFormat="1" x14ac:dyDescent="0.2">
      <c r="A442" s="1"/>
      <c r="B442" s="2"/>
      <c r="C442" s="3"/>
      <c r="S442" s="131"/>
      <c r="T442" s="131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3"/>
      <c r="AJ442" s="23"/>
      <c r="AK442" s="23"/>
      <c r="AL442" s="23"/>
      <c r="AM442" s="1"/>
      <c r="AN442" s="1"/>
      <c r="AO442" s="1"/>
      <c r="AP442" s="1"/>
      <c r="AQ442" s="1"/>
      <c r="AR442" s="1"/>
      <c r="AS442" s="1"/>
      <c r="AT442" s="1"/>
      <c r="AU442" s="24"/>
      <c r="AV442" s="24"/>
      <c r="AW442" s="24"/>
      <c r="AX442" s="236"/>
      <c r="AY442" s="236"/>
      <c r="AZ442" s="236"/>
      <c r="BA442" s="236"/>
    </row>
    <row r="443" spans="1:53" s="51" customFormat="1" x14ac:dyDescent="0.2">
      <c r="A443" s="1"/>
      <c r="B443" s="2"/>
      <c r="C443" s="3"/>
      <c r="S443" s="131"/>
      <c r="T443" s="131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  <c r="AG443" s="23"/>
      <c r="AH443" s="23"/>
      <c r="AI443" s="23"/>
      <c r="AJ443" s="23"/>
      <c r="AK443" s="23"/>
      <c r="AL443" s="23"/>
      <c r="AM443" s="1"/>
      <c r="AN443" s="1"/>
      <c r="AO443" s="1"/>
      <c r="AP443" s="1"/>
      <c r="AQ443" s="1"/>
      <c r="AR443" s="1"/>
      <c r="AS443" s="1"/>
      <c r="AT443" s="1"/>
      <c r="AU443" s="24"/>
      <c r="AV443" s="24"/>
      <c r="AW443" s="24"/>
      <c r="AX443" s="236"/>
      <c r="AY443" s="236"/>
      <c r="AZ443" s="236"/>
      <c r="BA443" s="236"/>
    </row>
    <row r="444" spans="1:53" s="51" customFormat="1" x14ac:dyDescent="0.2">
      <c r="A444" s="1"/>
      <c r="B444" s="2"/>
      <c r="C444" s="3"/>
      <c r="S444" s="131"/>
      <c r="T444" s="131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  <c r="AG444" s="23"/>
      <c r="AH444" s="23"/>
      <c r="AI444" s="23"/>
      <c r="AJ444" s="23"/>
      <c r="AK444" s="23"/>
      <c r="AL444" s="23"/>
      <c r="AM444" s="1"/>
      <c r="AN444" s="1"/>
      <c r="AO444" s="1"/>
      <c r="AP444" s="1"/>
      <c r="AQ444" s="1"/>
      <c r="AR444" s="1"/>
      <c r="AS444" s="1"/>
      <c r="AT444" s="1"/>
      <c r="AU444" s="24"/>
      <c r="AV444" s="24"/>
      <c r="AW444" s="24"/>
      <c r="AX444" s="236"/>
      <c r="AY444" s="236"/>
      <c r="AZ444" s="236"/>
      <c r="BA444" s="236"/>
    </row>
    <row r="445" spans="1:53" s="51" customFormat="1" x14ac:dyDescent="0.2">
      <c r="A445" s="1"/>
      <c r="B445" s="2"/>
      <c r="C445" s="3"/>
      <c r="S445" s="131"/>
      <c r="T445" s="131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  <c r="AG445" s="23"/>
      <c r="AH445" s="23"/>
      <c r="AI445" s="23"/>
      <c r="AJ445" s="23"/>
      <c r="AK445" s="23"/>
      <c r="AL445" s="23"/>
      <c r="AM445" s="1"/>
      <c r="AN445" s="1"/>
      <c r="AO445" s="1"/>
      <c r="AP445" s="1"/>
      <c r="AQ445" s="1"/>
      <c r="AR445" s="1"/>
      <c r="AS445" s="1"/>
      <c r="AT445" s="1"/>
      <c r="AU445" s="24"/>
      <c r="AV445" s="24"/>
      <c r="AW445" s="24"/>
      <c r="AX445" s="236"/>
      <c r="AY445" s="236"/>
      <c r="AZ445" s="236"/>
      <c r="BA445" s="236"/>
    </row>
    <row r="446" spans="1:53" s="51" customFormat="1" x14ac:dyDescent="0.2">
      <c r="A446" s="1"/>
      <c r="B446" s="2"/>
      <c r="C446" s="3"/>
      <c r="S446" s="131"/>
      <c r="T446" s="131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  <c r="AG446" s="23"/>
      <c r="AH446" s="23"/>
      <c r="AI446" s="23"/>
      <c r="AJ446" s="23"/>
      <c r="AK446" s="23"/>
      <c r="AL446" s="23"/>
      <c r="AM446" s="1"/>
      <c r="AN446" s="1"/>
      <c r="AO446" s="1"/>
      <c r="AP446" s="1"/>
      <c r="AQ446" s="1"/>
      <c r="AR446" s="1"/>
      <c r="AS446" s="1"/>
      <c r="AT446" s="1"/>
      <c r="AU446" s="24"/>
      <c r="AV446" s="24"/>
      <c r="AW446" s="24"/>
      <c r="AX446" s="236"/>
      <c r="AY446" s="236"/>
      <c r="AZ446" s="236"/>
      <c r="BA446" s="236"/>
    </row>
    <row r="447" spans="1:53" s="51" customFormat="1" x14ac:dyDescent="0.2">
      <c r="A447" s="1"/>
      <c r="B447" s="2"/>
      <c r="C447" s="3"/>
      <c r="S447" s="131"/>
      <c r="T447" s="131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  <c r="AH447" s="23"/>
      <c r="AI447" s="23"/>
      <c r="AJ447" s="23"/>
      <c r="AK447" s="23"/>
      <c r="AL447" s="23"/>
      <c r="AM447" s="1"/>
      <c r="AN447" s="1"/>
      <c r="AO447" s="1"/>
      <c r="AP447" s="1"/>
      <c r="AQ447" s="1"/>
      <c r="AR447" s="1"/>
      <c r="AS447" s="1"/>
      <c r="AT447" s="1"/>
      <c r="AU447" s="24"/>
      <c r="AV447" s="24"/>
      <c r="AW447" s="24"/>
      <c r="AX447" s="236"/>
      <c r="AY447" s="236"/>
      <c r="AZ447" s="236"/>
      <c r="BA447" s="236"/>
    </row>
    <row r="448" spans="1:53" s="51" customFormat="1" x14ac:dyDescent="0.2">
      <c r="A448" s="1"/>
      <c r="B448" s="2"/>
      <c r="C448" s="3"/>
      <c r="S448" s="131"/>
      <c r="T448" s="131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  <c r="AG448" s="23"/>
      <c r="AH448" s="23"/>
      <c r="AI448" s="23"/>
      <c r="AJ448" s="23"/>
      <c r="AK448" s="23"/>
      <c r="AL448" s="23"/>
      <c r="AM448" s="1"/>
      <c r="AN448" s="1"/>
      <c r="AO448" s="1"/>
      <c r="AP448" s="1"/>
      <c r="AQ448" s="1"/>
      <c r="AR448" s="1"/>
      <c r="AS448" s="1"/>
      <c r="AT448" s="1"/>
      <c r="AU448" s="24"/>
      <c r="AV448" s="24"/>
      <c r="AW448" s="24"/>
      <c r="AX448" s="236"/>
      <c r="AY448" s="236"/>
      <c r="AZ448" s="236"/>
      <c r="BA448" s="236"/>
    </row>
    <row r="449" spans="1:53" s="51" customFormat="1" x14ac:dyDescent="0.2">
      <c r="A449" s="1"/>
      <c r="B449" s="2"/>
      <c r="C449" s="3"/>
      <c r="S449" s="131"/>
      <c r="T449" s="131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  <c r="AG449" s="23"/>
      <c r="AH449" s="23"/>
      <c r="AI449" s="23"/>
      <c r="AJ449" s="23"/>
      <c r="AK449" s="23"/>
      <c r="AL449" s="23"/>
      <c r="AM449" s="1"/>
      <c r="AN449" s="1"/>
      <c r="AO449" s="1"/>
      <c r="AP449" s="1"/>
      <c r="AQ449" s="1"/>
      <c r="AR449" s="1"/>
      <c r="AS449" s="1"/>
      <c r="AT449" s="1"/>
      <c r="AU449" s="24"/>
      <c r="AV449" s="24"/>
      <c r="AW449" s="24"/>
      <c r="AX449" s="236"/>
      <c r="AY449" s="236"/>
      <c r="AZ449" s="236"/>
      <c r="BA449" s="236"/>
    </row>
    <row r="450" spans="1:53" s="51" customFormat="1" x14ac:dyDescent="0.2">
      <c r="A450" s="1"/>
      <c r="B450" s="2"/>
      <c r="C450" s="3"/>
      <c r="S450" s="131"/>
      <c r="T450" s="131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23"/>
      <c r="AH450" s="23"/>
      <c r="AI450" s="23"/>
      <c r="AJ450" s="23"/>
      <c r="AK450" s="23"/>
      <c r="AL450" s="23"/>
      <c r="AM450" s="1"/>
      <c r="AN450" s="1"/>
      <c r="AO450" s="1"/>
      <c r="AP450" s="1"/>
      <c r="AQ450" s="1"/>
      <c r="AR450" s="1"/>
      <c r="AS450" s="1"/>
      <c r="AT450" s="1"/>
      <c r="AU450" s="24"/>
      <c r="AV450" s="24"/>
      <c r="AW450" s="24"/>
      <c r="AX450" s="236"/>
      <c r="AY450" s="236"/>
      <c r="AZ450" s="236"/>
      <c r="BA450" s="236"/>
    </row>
    <row r="451" spans="1:53" s="51" customFormat="1" x14ac:dyDescent="0.2">
      <c r="A451" s="1"/>
      <c r="B451" s="2"/>
      <c r="C451" s="3"/>
      <c r="S451" s="131"/>
      <c r="T451" s="131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23"/>
      <c r="AH451" s="23"/>
      <c r="AI451" s="23"/>
      <c r="AJ451" s="23"/>
      <c r="AK451" s="23"/>
      <c r="AL451" s="23"/>
      <c r="AM451" s="1"/>
      <c r="AN451" s="1"/>
      <c r="AO451" s="1"/>
      <c r="AP451" s="1"/>
      <c r="AQ451" s="1"/>
      <c r="AR451" s="1"/>
      <c r="AS451" s="1"/>
      <c r="AT451" s="1"/>
      <c r="AU451" s="24"/>
      <c r="AV451" s="24"/>
      <c r="AW451" s="24"/>
      <c r="AX451" s="236"/>
      <c r="AY451" s="236"/>
      <c r="AZ451" s="236"/>
      <c r="BA451" s="236"/>
    </row>
    <row r="452" spans="1:53" s="51" customFormat="1" x14ac:dyDescent="0.2">
      <c r="A452" s="1"/>
      <c r="B452" s="2"/>
      <c r="C452" s="3"/>
      <c r="S452" s="131"/>
      <c r="T452" s="131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  <c r="AG452" s="23"/>
      <c r="AH452" s="23"/>
      <c r="AI452" s="23"/>
      <c r="AJ452" s="23"/>
      <c r="AK452" s="23"/>
      <c r="AL452" s="23"/>
      <c r="AM452" s="1"/>
      <c r="AN452" s="1"/>
      <c r="AO452" s="1"/>
      <c r="AP452" s="1"/>
      <c r="AQ452" s="1"/>
      <c r="AR452" s="1"/>
      <c r="AS452" s="1"/>
      <c r="AT452" s="1"/>
      <c r="AU452" s="24"/>
      <c r="AV452" s="24"/>
      <c r="AW452" s="24"/>
      <c r="AX452" s="236"/>
      <c r="AY452" s="236"/>
      <c r="AZ452" s="236"/>
      <c r="BA452" s="236"/>
    </row>
    <row r="453" spans="1:53" s="51" customFormat="1" x14ac:dyDescent="0.2">
      <c r="A453" s="1"/>
      <c r="B453" s="2"/>
      <c r="C453" s="3"/>
      <c r="S453" s="131"/>
      <c r="T453" s="131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3"/>
      <c r="AH453" s="23"/>
      <c r="AI453" s="23"/>
      <c r="AJ453" s="23"/>
      <c r="AK453" s="23"/>
      <c r="AL453" s="23"/>
      <c r="AM453" s="1"/>
      <c r="AN453" s="1"/>
      <c r="AO453" s="1"/>
      <c r="AP453" s="1"/>
      <c r="AQ453" s="1"/>
      <c r="AR453" s="1"/>
      <c r="AS453" s="1"/>
      <c r="AT453" s="1"/>
      <c r="AU453" s="24"/>
      <c r="AV453" s="24"/>
      <c r="AW453" s="24"/>
      <c r="AX453" s="236"/>
      <c r="AY453" s="236"/>
      <c r="AZ453" s="236"/>
      <c r="BA453" s="236"/>
    </row>
    <row r="454" spans="1:53" s="51" customFormat="1" x14ac:dyDescent="0.2">
      <c r="A454" s="1"/>
      <c r="B454" s="2"/>
      <c r="C454" s="3"/>
      <c r="S454" s="131"/>
      <c r="T454" s="131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  <c r="AG454" s="23"/>
      <c r="AH454" s="23"/>
      <c r="AI454" s="23"/>
      <c r="AJ454" s="23"/>
      <c r="AK454" s="23"/>
      <c r="AL454" s="23"/>
      <c r="AM454" s="1"/>
      <c r="AN454" s="1"/>
      <c r="AO454" s="1"/>
      <c r="AP454" s="1"/>
      <c r="AQ454" s="1"/>
      <c r="AR454" s="1"/>
      <c r="AS454" s="1"/>
      <c r="AT454" s="1"/>
      <c r="AU454" s="24"/>
      <c r="AV454" s="24"/>
      <c r="AW454" s="24"/>
      <c r="AX454" s="236"/>
      <c r="AY454" s="236"/>
      <c r="AZ454" s="236"/>
      <c r="BA454" s="236"/>
    </row>
    <row r="455" spans="1:53" s="51" customFormat="1" x14ac:dyDescent="0.2">
      <c r="A455" s="1"/>
      <c r="B455" s="2"/>
      <c r="C455" s="3"/>
      <c r="S455" s="131"/>
      <c r="T455" s="131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  <c r="AG455" s="23"/>
      <c r="AH455" s="23"/>
      <c r="AI455" s="23"/>
      <c r="AJ455" s="23"/>
      <c r="AK455" s="23"/>
      <c r="AL455" s="23"/>
      <c r="AM455" s="1"/>
      <c r="AN455" s="1"/>
      <c r="AO455" s="1"/>
      <c r="AP455" s="1"/>
      <c r="AQ455" s="1"/>
      <c r="AR455" s="1"/>
      <c r="AS455" s="1"/>
      <c r="AT455" s="1"/>
      <c r="AU455" s="24"/>
      <c r="AV455" s="24"/>
      <c r="AW455" s="24"/>
      <c r="AX455" s="236"/>
      <c r="AY455" s="236"/>
      <c r="AZ455" s="236"/>
      <c r="BA455" s="236"/>
    </row>
    <row r="456" spans="1:53" s="51" customFormat="1" x14ac:dyDescent="0.2">
      <c r="A456" s="1"/>
      <c r="B456" s="2"/>
      <c r="C456" s="3"/>
      <c r="S456" s="131"/>
      <c r="T456" s="131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/>
      <c r="AH456" s="23"/>
      <c r="AI456" s="23"/>
      <c r="AJ456" s="23"/>
      <c r="AK456" s="23"/>
      <c r="AL456" s="23"/>
      <c r="AM456" s="1"/>
      <c r="AN456" s="1"/>
      <c r="AO456" s="1"/>
      <c r="AP456" s="1"/>
      <c r="AQ456" s="1"/>
      <c r="AR456" s="1"/>
      <c r="AS456" s="1"/>
      <c r="AT456" s="1"/>
      <c r="AU456" s="24"/>
      <c r="AV456" s="24"/>
      <c r="AW456" s="24"/>
      <c r="AX456" s="236"/>
      <c r="AY456" s="236"/>
      <c r="AZ456" s="236"/>
      <c r="BA456" s="236"/>
    </row>
    <row r="457" spans="1:53" s="51" customFormat="1" x14ac:dyDescent="0.2">
      <c r="A457" s="1"/>
      <c r="B457" s="2"/>
      <c r="C457" s="3"/>
      <c r="S457" s="131"/>
      <c r="T457" s="131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  <c r="AH457" s="23"/>
      <c r="AI457" s="23"/>
      <c r="AJ457" s="23"/>
      <c r="AK457" s="23"/>
      <c r="AL457" s="23"/>
      <c r="AM457" s="1"/>
      <c r="AN457" s="1"/>
      <c r="AO457" s="1"/>
      <c r="AP457" s="1"/>
      <c r="AQ457" s="1"/>
      <c r="AR457" s="1"/>
      <c r="AS457" s="1"/>
      <c r="AT457" s="1"/>
      <c r="AU457" s="24"/>
      <c r="AV457" s="24"/>
      <c r="AW457" s="24"/>
      <c r="AX457" s="236"/>
      <c r="AY457" s="236"/>
      <c r="AZ457" s="236"/>
      <c r="BA457" s="236"/>
    </row>
    <row r="458" spans="1:53" s="51" customFormat="1" x14ac:dyDescent="0.2">
      <c r="A458" s="1"/>
      <c r="B458" s="2"/>
      <c r="C458" s="3"/>
      <c r="S458" s="131"/>
      <c r="T458" s="131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3"/>
      <c r="AJ458" s="23"/>
      <c r="AK458" s="23"/>
      <c r="AL458" s="23"/>
      <c r="AM458" s="1"/>
      <c r="AN458" s="1"/>
      <c r="AO458" s="1"/>
      <c r="AP458" s="1"/>
      <c r="AQ458" s="1"/>
      <c r="AR458" s="1"/>
      <c r="AS458" s="1"/>
      <c r="AT458" s="1"/>
      <c r="AU458" s="24"/>
      <c r="AV458" s="24"/>
      <c r="AW458" s="24"/>
      <c r="AX458" s="236"/>
      <c r="AY458" s="236"/>
      <c r="AZ458" s="236"/>
      <c r="BA458" s="236"/>
    </row>
    <row r="459" spans="1:53" s="51" customFormat="1" x14ac:dyDescent="0.2">
      <c r="A459" s="1"/>
      <c r="B459" s="2"/>
      <c r="C459" s="3"/>
      <c r="S459" s="131"/>
      <c r="T459" s="131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  <c r="AH459" s="23"/>
      <c r="AI459" s="23"/>
      <c r="AJ459" s="23"/>
      <c r="AK459" s="23"/>
      <c r="AL459" s="23"/>
      <c r="AM459" s="1"/>
      <c r="AN459" s="1"/>
      <c r="AO459" s="1"/>
      <c r="AP459" s="1"/>
      <c r="AQ459" s="1"/>
      <c r="AR459" s="1"/>
      <c r="AS459" s="1"/>
      <c r="AT459" s="1"/>
      <c r="AU459" s="24"/>
      <c r="AV459" s="24"/>
      <c r="AW459" s="24"/>
      <c r="AX459" s="236"/>
      <c r="AY459" s="236"/>
      <c r="AZ459" s="236"/>
      <c r="BA459" s="236"/>
    </row>
    <row r="460" spans="1:53" s="51" customFormat="1" x14ac:dyDescent="0.2">
      <c r="A460" s="1"/>
      <c r="B460" s="2"/>
      <c r="C460" s="3"/>
      <c r="S460" s="131"/>
      <c r="T460" s="131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  <c r="AG460" s="23"/>
      <c r="AH460" s="23"/>
      <c r="AI460" s="23"/>
      <c r="AJ460" s="23"/>
      <c r="AK460" s="23"/>
      <c r="AL460" s="23"/>
      <c r="AM460" s="1"/>
      <c r="AN460" s="1"/>
      <c r="AO460" s="1"/>
      <c r="AP460" s="1"/>
      <c r="AQ460" s="1"/>
      <c r="AR460" s="1"/>
      <c r="AS460" s="1"/>
      <c r="AT460" s="1"/>
      <c r="AU460" s="24"/>
      <c r="AV460" s="24"/>
      <c r="AW460" s="24"/>
      <c r="AX460" s="236"/>
      <c r="AY460" s="236"/>
      <c r="AZ460" s="236"/>
      <c r="BA460" s="236"/>
    </row>
    <row r="461" spans="1:53" s="51" customFormat="1" x14ac:dyDescent="0.2">
      <c r="A461" s="1"/>
      <c r="B461" s="2"/>
      <c r="C461" s="3"/>
      <c r="S461" s="131"/>
      <c r="T461" s="131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  <c r="AH461" s="23"/>
      <c r="AI461" s="23"/>
      <c r="AJ461" s="23"/>
      <c r="AK461" s="23"/>
      <c r="AL461" s="23"/>
      <c r="AM461" s="1"/>
      <c r="AN461" s="1"/>
      <c r="AO461" s="1"/>
      <c r="AP461" s="1"/>
      <c r="AQ461" s="1"/>
      <c r="AR461" s="1"/>
      <c r="AS461" s="1"/>
      <c r="AT461" s="1"/>
      <c r="AU461" s="24"/>
      <c r="AV461" s="24"/>
      <c r="AW461" s="24"/>
      <c r="AX461" s="236"/>
      <c r="AY461" s="236"/>
      <c r="AZ461" s="236"/>
      <c r="BA461" s="236"/>
    </row>
    <row r="462" spans="1:53" s="51" customFormat="1" x14ac:dyDescent="0.2">
      <c r="A462" s="1"/>
      <c r="B462" s="2"/>
      <c r="C462" s="3"/>
      <c r="S462" s="131"/>
      <c r="T462" s="131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3"/>
      <c r="AJ462" s="23"/>
      <c r="AK462" s="23"/>
      <c r="AL462" s="23"/>
      <c r="AM462" s="1"/>
      <c r="AN462" s="1"/>
      <c r="AO462" s="1"/>
      <c r="AP462" s="1"/>
      <c r="AQ462" s="1"/>
      <c r="AR462" s="1"/>
      <c r="AS462" s="1"/>
      <c r="AT462" s="1"/>
      <c r="AU462" s="24"/>
      <c r="AV462" s="24"/>
      <c r="AW462" s="24"/>
      <c r="AX462" s="236"/>
      <c r="AY462" s="236"/>
      <c r="AZ462" s="236"/>
      <c r="BA462" s="236"/>
    </row>
    <row r="463" spans="1:53" s="51" customFormat="1" x14ac:dyDescent="0.2">
      <c r="A463" s="1"/>
      <c r="B463" s="2"/>
      <c r="C463" s="3"/>
      <c r="S463" s="131"/>
      <c r="T463" s="131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  <c r="AJ463" s="23"/>
      <c r="AK463" s="23"/>
      <c r="AL463" s="23"/>
      <c r="AM463" s="1"/>
      <c r="AN463" s="1"/>
      <c r="AO463" s="1"/>
      <c r="AP463" s="1"/>
      <c r="AQ463" s="1"/>
      <c r="AR463" s="1"/>
      <c r="AS463" s="1"/>
      <c r="AT463" s="1"/>
      <c r="AU463" s="24"/>
      <c r="AV463" s="24"/>
      <c r="AW463" s="24"/>
      <c r="AX463" s="236"/>
      <c r="AY463" s="236"/>
      <c r="AZ463" s="236"/>
      <c r="BA463" s="236"/>
    </row>
    <row r="464" spans="1:53" s="51" customFormat="1" x14ac:dyDescent="0.2">
      <c r="A464" s="1"/>
      <c r="B464" s="2"/>
      <c r="C464" s="3"/>
      <c r="S464" s="131"/>
      <c r="T464" s="131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  <c r="AG464" s="23"/>
      <c r="AH464" s="23"/>
      <c r="AI464" s="23"/>
      <c r="AJ464" s="23"/>
      <c r="AK464" s="23"/>
      <c r="AL464" s="23"/>
      <c r="AM464" s="1"/>
      <c r="AN464" s="1"/>
      <c r="AO464" s="1"/>
      <c r="AP464" s="1"/>
      <c r="AQ464" s="1"/>
      <c r="AR464" s="1"/>
      <c r="AS464" s="1"/>
      <c r="AT464" s="1"/>
      <c r="AU464" s="24"/>
      <c r="AV464" s="24"/>
      <c r="AW464" s="24"/>
      <c r="AX464" s="236"/>
      <c r="AY464" s="236"/>
      <c r="AZ464" s="236"/>
      <c r="BA464" s="236"/>
    </row>
    <row r="465" spans="1:53" s="51" customFormat="1" x14ac:dyDescent="0.2">
      <c r="A465" s="1"/>
      <c r="B465" s="2"/>
      <c r="C465" s="3"/>
      <c r="S465" s="131"/>
      <c r="T465" s="131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3"/>
      <c r="AJ465" s="23"/>
      <c r="AK465" s="23"/>
      <c r="AL465" s="23"/>
      <c r="AM465" s="1"/>
      <c r="AN465" s="1"/>
      <c r="AO465" s="1"/>
      <c r="AP465" s="1"/>
      <c r="AQ465" s="1"/>
      <c r="AR465" s="1"/>
      <c r="AS465" s="1"/>
      <c r="AT465" s="1"/>
      <c r="AU465" s="24"/>
      <c r="AV465" s="24"/>
      <c r="AW465" s="24"/>
      <c r="AX465" s="236"/>
      <c r="AY465" s="236"/>
      <c r="AZ465" s="236"/>
      <c r="BA465" s="236"/>
    </row>
    <row r="466" spans="1:53" s="51" customFormat="1" x14ac:dyDescent="0.2">
      <c r="A466" s="1"/>
      <c r="B466" s="2"/>
      <c r="C466" s="3"/>
      <c r="S466" s="131"/>
      <c r="T466" s="131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23"/>
      <c r="AH466" s="23"/>
      <c r="AI466" s="23"/>
      <c r="AJ466" s="23"/>
      <c r="AK466" s="23"/>
      <c r="AL466" s="23"/>
      <c r="AM466" s="1"/>
      <c r="AN466" s="1"/>
      <c r="AO466" s="1"/>
      <c r="AP466" s="1"/>
      <c r="AQ466" s="1"/>
      <c r="AR466" s="1"/>
      <c r="AS466" s="1"/>
      <c r="AT466" s="1"/>
      <c r="AU466" s="24"/>
      <c r="AV466" s="24"/>
      <c r="AW466" s="24"/>
      <c r="AX466" s="236"/>
      <c r="AY466" s="236"/>
      <c r="AZ466" s="236"/>
      <c r="BA466" s="236"/>
    </row>
    <row r="467" spans="1:53" s="51" customFormat="1" x14ac:dyDescent="0.2">
      <c r="A467" s="1"/>
      <c r="B467" s="2"/>
      <c r="C467" s="3"/>
      <c r="S467" s="131"/>
      <c r="T467" s="131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/>
      <c r="AJ467" s="23"/>
      <c r="AK467" s="23"/>
      <c r="AL467" s="23"/>
      <c r="AM467" s="1"/>
      <c r="AN467" s="1"/>
      <c r="AO467" s="1"/>
      <c r="AP467" s="1"/>
      <c r="AQ467" s="1"/>
      <c r="AR467" s="1"/>
      <c r="AS467" s="1"/>
      <c r="AT467" s="1"/>
      <c r="AU467" s="24"/>
      <c r="AV467" s="24"/>
      <c r="AW467" s="24"/>
      <c r="AX467" s="236"/>
      <c r="AY467" s="236"/>
      <c r="AZ467" s="236"/>
      <c r="BA467" s="236"/>
    </row>
    <row r="468" spans="1:53" s="51" customFormat="1" x14ac:dyDescent="0.2">
      <c r="A468" s="1"/>
      <c r="B468" s="2"/>
      <c r="C468" s="3"/>
      <c r="S468" s="131"/>
      <c r="T468" s="131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23"/>
      <c r="AH468" s="23"/>
      <c r="AI468" s="23"/>
      <c r="AJ468" s="23"/>
      <c r="AK468" s="23"/>
      <c r="AL468" s="23"/>
      <c r="AM468" s="1"/>
      <c r="AN468" s="1"/>
      <c r="AO468" s="1"/>
      <c r="AP468" s="1"/>
      <c r="AQ468" s="1"/>
      <c r="AR468" s="1"/>
      <c r="AS468" s="1"/>
      <c r="AT468" s="1"/>
      <c r="AU468" s="24"/>
      <c r="AV468" s="24"/>
      <c r="AW468" s="24"/>
      <c r="AX468" s="236"/>
      <c r="AY468" s="236"/>
      <c r="AZ468" s="236"/>
      <c r="BA468" s="236"/>
    </row>
    <row r="469" spans="1:53" s="51" customFormat="1" x14ac:dyDescent="0.2">
      <c r="A469" s="1"/>
      <c r="B469" s="2"/>
      <c r="C469" s="3"/>
      <c r="S469" s="131"/>
      <c r="T469" s="131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23"/>
      <c r="AH469" s="23"/>
      <c r="AI469" s="23"/>
      <c r="AJ469" s="23"/>
      <c r="AK469" s="23"/>
      <c r="AL469" s="23"/>
      <c r="AM469" s="1"/>
      <c r="AN469" s="1"/>
      <c r="AO469" s="1"/>
      <c r="AP469" s="1"/>
      <c r="AQ469" s="1"/>
      <c r="AR469" s="1"/>
      <c r="AS469" s="1"/>
      <c r="AT469" s="1"/>
      <c r="AU469" s="24"/>
      <c r="AV469" s="24"/>
      <c r="AW469" s="24"/>
      <c r="AX469" s="236"/>
      <c r="AY469" s="236"/>
      <c r="AZ469" s="236"/>
      <c r="BA469" s="236"/>
    </row>
    <row r="470" spans="1:53" s="51" customFormat="1" x14ac:dyDescent="0.2">
      <c r="A470" s="1"/>
      <c r="B470" s="2"/>
      <c r="C470" s="3"/>
      <c r="S470" s="131"/>
      <c r="T470" s="131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23"/>
      <c r="AH470" s="23"/>
      <c r="AI470" s="23"/>
      <c r="AJ470" s="23"/>
      <c r="AK470" s="23"/>
      <c r="AL470" s="23"/>
      <c r="AM470" s="1"/>
      <c r="AN470" s="1"/>
      <c r="AO470" s="1"/>
      <c r="AP470" s="1"/>
      <c r="AQ470" s="1"/>
      <c r="AR470" s="1"/>
      <c r="AS470" s="1"/>
      <c r="AT470" s="1"/>
      <c r="AU470" s="24"/>
      <c r="AV470" s="24"/>
      <c r="AW470" s="24"/>
      <c r="AX470" s="236"/>
      <c r="AY470" s="236"/>
      <c r="AZ470" s="236"/>
      <c r="BA470" s="236"/>
    </row>
    <row r="471" spans="1:53" s="51" customFormat="1" x14ac:dyDescent="0.2">
      <c r="A471" s="1"/>
      <c r="B471" s="2"/>
      <c r="C471" s="3"/>
      <c r="S471" s="131"/>
      <c r="T471" s="131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  <c r="AG471" s="23"/>
      <c r="AH471" s="23"/>
      <c r="AI471" s="23"/>
      <c r="AJ471" s="23"/>
      <c r="AK471" s="23"/>
      <c r="AL471" s="23"/>
      <c r="AM471" s="1"/>
      <c r="AN471" s="1"/>
      <c r="AO471" s="1"/>
      <c r="AP471" s="1"/>
      <c r="AQ471" s="1"/>
      <c r="AR471" s="1"/>
      <c r="AS471" s="1"/>
      <c r="AT471" s="1"/>
      <c r="AU471" s="24"/>
      <c r="AV471" s="24"/>
      <c r="AW471" s="24"/>
      <c r="AX471" s="236"/>
      <c r="AY471" s="236"/>
      <c r="AZ471" s="236"/>
      <c r="BA471" s="236"/>
    </row>
    <row r="472" spans="1:53" s="51" customFormat="1" x14ac:dyDescent="0.2">
      <c r="A472" s="1"/>
      <c r="B472" s="2"/>
      <c r="C472" s="3"/>
      <c r="S472" s="131"/>
      <c r="T472" s="131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  <c r="AG472" s="23"/>
      <c r="AH472" s="23"/>
      <c r="AI472" s="23"/>
      <c r="AJ472" s="23"/>
      <c r="AK472" s="23"/>
      <c r="AL472" s="23"/>
      <c r="AM472" s="1"/>
      <c r="AN472" s="1"/>
      <c r="AO472" s="1"/>
      <c r="AP472" s="1"/>
      <c r="AQ472" s="1"/>
      <c r="AR472" s="1"/>
      <c r="AS472" s="1"/>
      <c r="AT472" s="1"/>
      <c r="AU472" s="24"/>
      <c r="AV472" s="24"/>
      <c r="AW472" s="24"/>
      <c r="AX472" s="236"/>
      <c r="AY472" s="236"/>
      <c r="AZ472" s="236"/>
      <c r="BA472" s="236"/>
    </row>
    <row r="473" spans="1:53" s="51" customFormat="1" x14ac:dyDescent="0.2">
      <c r="A473" s="1"/>
      <c r="B473" s="2"/>
      <c r="C473" s="3"/>
      <c r="S473" s="131"/>
      <c r="T473" s="131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  <c r="AG473" s="23"/>
      <c r="AH473" s="23"/>
      <c r="AI473" s="23"/>
      <c r="AJ473" s="23"/>
      <c r="AK473" s="23"/>
      <c r="AL473" s="23"/>
      <c r="AM473" s="1"/>
      <c r="AN473" s="1"/>
      <c r="AO473" s="1"/>
      <c r="AP473" s="1"/>
      <c r="AQ473" s="1"/>
      <c r="AR473" s="1"/>
      <c r="AS473" s="1"/>
      <c r="AT473" s="1"/>
      <c r="AU473" s="24"/>
      <c r="AV473" s="24"/>
      <c r="AW473" s="24"/>
      <c r="AX473" s="236"/>
      <c r="AY473" s="236"/>
      <c r="AZ473" s="236"/>
      <c r="BA473" s="236"/>
    </row>
    <row r="474" spans="1:53" s="51" customFormat="1" x14ac:dyDescent="0.2">
      <c r="A474" s="1"/>
      <c r="B474" s="2"/>
      <c r="C474" s="3"/>
      <c r="S474" s="131"/>
      <c r="T474" s="131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  <c r="AG474" s="23"/>
      <c r="AH474" s="23"/>
      <c r="AI474" s="23"/>
      <c r="AJ474" s="23"/>
      <c r="AK474" s="23"/>
      <c r="AL474" s="23"/>
      <c r="AM474" s="1"/>
      <c r="AN474" s="1"/>
      <c r="AO474" s="1"/>
      <c r="AP474" s="1"/>
      <c r="AQ474" s="1"/>
      <c r="AR474" s="1"/>
      <c r="AS474" s="1"/>
      <c r="AT474" s="1"/>
      <c r="AU474" s="24"/>
      <c r="AV474" s="24"/>
      <c r="AW474" s="24"/>
      <c r="AX474" s="236"/>
      <c r="AY474" s="236"/>
      <c r="AZ474" s="236"/>
      <c r="BA474" s="236"/>
    </row>
    <row r="475" spans="1:53" s="51" customFormat="1" x14ac:dyDescent="0.2">
      <c r="A475" s="1"/>
      <c r="B475" s="2"/>
      <c r="C475" s="3"/>
      <c r="S475" s="131"/>
      <c r="T475" s="131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  <c r="AG475" s="23"/>
      <c r="AH475" s="23"/>
      <c r="AI475" s="23"/>
      <c r="AJ475" s="23"/>
      <c r="AK475" s="23"/>
      <c r="AL475" s="23"/>
      <c r="AM475" s="1"/>
      <c r="AN475" s="1"/>
      <c r="AO475" s="1"/>
      <c r="AP475" s="1"/>
      <c r="AQ475" s="1"/>
      <c r="AR475" s="1"/>
      <c r="AS475" s="1"/>
      <c r="AT475" s="1"/>
      <c r="AU475" s="24"/>
      <c r="AV475" s="24"/>
      <c r="AW475" s="24"/>
      <c r="AX475" s="236"/>
      <c r="AY475" s="236"/>
      <c r="AZ475" s="236"/>
      <c r="BA475" s="236"/>
    </row>
    <row r="476" spans="1:53" s="51" customFormat="1" x14ac:dyDescent="0.2">
      <c r="A476" s="1"/>
      <c r="B476" s="2"/>
      <c r="C476" s="3"/>
      <c r="S476" s="131"/>
      <c r="T476" s="131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23"/>
      <c r="AH476" s="23"/>
      <c r="AI476" s="23"/>
      <c r="AJ476" s="23"/>
      <c r="AK476" s="23"/>
      <c r="AL476" s="23"/>
      <c r="AM476" s="1"/>
      <c r="AN476" s="1"/>
      <c r="AO476" s="1"/>
      <c r="AP476" s="1"/>
      <c r="AQ476" s="1"/>
      <c r="AR476" s="1"/>
      <c r="AS476" s="1"/>
      <c r="AT476" s="1"/>
      <c r="AU476" s="24"/>
      <c r="AV476" s="24"/>
      <c r="AW476" s="24"/>
      <c r="AX476" s="236"/>
      <c r="AY476" s="236"/>
      <c r="AZ476" s="236"/>
      <c r="BA476" s="236"/>
    </row>
    <row r="477" spans="1:53" s="51" customFormat="1" x14ac:dyDescent="0.2">
      <c r="A477" s="1"/>
      <c r="B477" s="2"/>
      <c r="C477" s="3"/>
      <c r="S477" s="131"/>
      <c r="T477" s="131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  <c r="AG477" s="23"/>
      <c r="AH477" s="23"/>
      <c r="AI477" s="23"/>
      <c r="AJ477" s="23"/>
      <c r="AK477" s="23"/>
      <c r="AL477" s="23"/>
      <c r="AM477" s="1"/>
      <c r="AN477" s="1"/>
      <c r="AO477" s="1"/>
      <c r="AP477" s="1"/>
      <c r="AQ477" s="1"/>
      <c r="AR477" s="1"/>
      <c r="AS477" s="1"/>
      <c r="AT477" s="1"/>
      <c r="AU477" s="24"/>
      <c r="AV477" s="24"/>
      <c r="AW477" s="24"/>
      <c r="AX477" s="236"/>
      <c r="AY477" s="236"/>
      <c r="AZ477" s="236"/>
      <c r="BA477" s="236"/>
    </row>
    <row r="478" spans="1:53" s="51" customFormat="1" x14ac:dyDescent="0.2">
      <c r="A478" s="1"/>
      <c r="B478" s="2"/>
      <c r="C478" s="3"/>
      <c r="S478" s="131"/>
      <c r="T478" s="131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  <c r="AG478" s="23"/>
      <c r="AH478" s="23"/>
      <c r="AI478" s="23"/>
      <c r="AJ478" s="23"/>
      <c r="AK478" s="23"/>
      <c r="AL478" s="23"/>
      <c r="AM478" s="1"/>
      <c r="AN478" s="1"/>
      <c r="AO478" s="1"/>
      <c r="AP478" s="1"/>
      <c r="AQ478" s="1"/>
      <c r="AR478" s="1"/>
      <c r="AS478" s="1"/>
      <c r="AT478" s="1"/>
      <c r="AU478" s="24"/>
      <c r="AV478" s="24"/>
      <c r="AW478" s="24"/>
      <c r="AX478" s="236"/>
      <c r="AY478" s="236"/>
      <c r="AZ478" s="236"/>
      <c r="BA478" s="236"/>
    </row>
    <row r="479" spans="1:53" s="51" customFormat="1" x14ac:dyDescent="0.2">
      <c r="A479" s="1"/>
      <c r="B479" s="2"/>
      <c r="C479" s="3"/>
      <c r="S479" s="131"/>
      <c r="T479" s="131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  <c r="AG479" s="23"/>
      <c r="AH479" s="23"/>
      <c r="AI479" s="23"/>
      <c r="AJ479" s="23"/>
      <c r="AK479" s="23"/>
      <c r="AL479" s="23"/>
      <c r="AM479" s="1"/>
      <c r="AN479" s="1"/>
      <c r="AO479" s="1"/>
      <c r="AP479" s="1"/>
      <c r="AQ479" s="1"/>
      <c r="AR479" s="1"/>
      <c r="AS479" s="1"/>
      <c r="AT479" s="1"/>
      <c r="AU479" s="24"/>
      <c r="AV479" s="24"/>
      <c r="AW479" s="24"/>
      <c r="AX479" s="236"/>
      <c r="AY479" s="236"/>
      <c r="AZ479" s="236"/>
      <c r="BA479" s="236"/>
    </row>
    <row r="480" spans="1:53" s="51" customFormat="1" x14ac:dyDescent="0.2">
      <c r="A480" s="1"/>
      <c r="B480" s="2"/>
      <c r="C480" s="3"/>
      <c r="S480" s="131"/>
      <c r="T480" s="131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  <c r="AG480" s="23"/>
      <c r="AH480" s="23"/>
      <c r="AI480" s="23"/>
      <c r="AJ480" s="23"/>
      <c r="AK480" s="23"/>
      <c r="AL480" s="23"/>
      <c r="AM480" s="1"/>
      <c r="AN480" s="1"/>
      <c r="AO480" s="1"/>
      <c r="AP480" s="1"/>
      <c r="AQ480" s="1"/>
      <c r="AR480" s="1"/>
      <c r="AS480" s="1"/>
      <c r="AT480" s="1"/>
      <c r="AU480" s="24"/>
      <c r="AV480" s="24"/>
      <c r="AW480" s="24"/>
      <c r="AX480" s="236"/>
      <c r="AY480" s="236"/>
      <c r="AZ480" s="236"/>
      <c r="BA480" s="236"/>
    </row>
    <row r="481" spans="1:53" s="51" customFormat="1" x14ac:dyDescent="0.2">
      <c r="A481" s="1"/>
      <c r="B481" s="2"/>
      <c r="C481" s="3"/>
      <c r="S481" s="131"/>
      <c r="T481" s="131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  <c r="AG481" s="23"/>
      <c r="AH481" s="23"/>
      <c r="AI481" s="23"/>
      <c r="AJ481" s="23"/>
      <c r="AK481" s="23"/>
      <c r="AL481" s="23"/>
      <c r="AM481" s="1"/>
      <c r="AN481" s="1"/>
      <c r="AO481" s="1"/>
      <c r="AP481" s="1"/>
      <c r="AQ481" s="1"/>
      <c r="AR481" s="1"/>
      <c r="AS481" s="1"/>
      <c r="AT481" s="1"/>
      <c r="AU481" s="24"/>
      <c r="AV481" s="24"/>
      <c r="AW481" s="24"/>
      <c r="AX481" s="236"/>
      <c r="AY481" s="236"/>
      <c r="AZ481" s="236"/>
      <c r="BA481" s="236"/>
    </row>
    <row r="482" spans="1:53" s="51" customFormat="1" x14ac:dyDescent="0.2">
      <c r="A482" s="1"/>
      <c r="B482" s="2"/>
      <c r="C482" s="3"/>
      <c r="S482" s="131"/>
      <c r="T482" s="131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  <c r="AG482" s="23"/>
      <c r="AH482" s="23"/>
      <c r="AI482" s="23"/>
      <c r="AJ482" s="23"/>
      <c r="AK482" s="23"/>
      <c r="AL482" s="23"/>
      <c r="AM482" s="1"/>
      <c r="AN482" s="1"/>
      <c r="AO482" s="1"/>
      <c r="AP482" s="1"/>
      <c r="AQ482" s="1"/>
      <c r="AR482" s="1"/>
      <c r="AS482" s="1"/>
      <c r="AT482" s="1"/>
      <c r="AU482" s="24"/>
      <c r="AV482" s="24"/>
      <c r="AW482" s="24"/>
      <c r="AX482" s="236"/>
      <c r="AY482" s="236"/>
      <c r="AZ482" s="236"/>
      <c r="BA482" s="236"/>
    </row>
    <row r="483" spans="1:53" s="51" customFormat="1" x14ac:dyDescent="0.2">
      <c r="A483" s="1"/>
      <c r="B483" s="2"/>
      <c r="C483" s="3"/>
      <c r="S483" s="131"/>
      <c r="T483" s="131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  <c r="AG483" s="23"/>
      <c r="AH483" s="23"/>
      <c r="AI483" s="23"/>
      <c r="AJ483" s="23"/>
      <c r="AK483" s="23"/>
      <c r="AL483" s="23"/>
      <c r="AM483" s="1"/>
      <c r="AN483" s="1"/>
      <c r="AO483" s="1"/>
      <c r="AP483" s="1"/>
      <c r="AQ483" s="1"/>
      <c r="AR483" s="1"/>
      <c r="AS483" s="1"/>
      <c r="AT483" s="1"/>
      <c r="AU483" s="24"/>
      <c r="AV483" s="24"/>
      <c r="AW483" s="24"/>
      <c r="AX483" s="236"/>
      <c r="AY483" s="236"/>
      <c r="AZ483" s="236"/>
      <c r="BA483" s="236"/>
    </row>
    <row r="484" spans="1:53" s="51" customFormat="1" x14ac:dyDescent="0.2">
      <c r="A484" s="1"/>
      <c r="B484" s="2"/>
      <c r="C484" s="3"/>
      <c r="S484" s="131"/>
      <c r="T484" s="131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23"/>
      <c r="AH484" s="23"/>
      <c r="AI484" s="23"/>
      <c r="AJ484" s="23"/>
      <c r="AK484" s="23"/>
      <c r="AL484" s="23"/>
      <c r="AM484" s="1"/>
      <c r="AN484" s="1"/>
      <c r="AO484" s="1"/>
      <c r="AP484" s="1"/>
      <c r="AQ484" s="1"/>
      <c r="AR484" s="1"/>
      <c r="AS484" s="1"/>
      <c r="AT484" s="1"/>
      <c r="AU484" s="24"/>
      <c r="AV484" s="24"/>
      <c r="AW484" s="24"/>
      <c r="AX484" s="236"/>
      <c r="AY484" s="236"/>
      <c r="AZ484" s="236"/>
      <c r="BA484" s="236"/>
    </row>
    <row r="485" spans="1:53" s="51" customFormat="1" x14ac:dyDescent="0.2">
      <c r="A485" s="1"/>
      <c r="B485" s="2"/>
      <c r="C485" s="3"/>
      <c r="S485" s="131"/>
      <c r="T485" s="131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23"/>
      <c r="AH485" s="23"/>
      <c r="AI485" s="23"/>
      <c r="AJ485" s="23"/>
      <c r="AK485" s="23"/>
      <c r="AL485" s="23"/>
      <c r="AM485" s="1"/>
      <c r="AN485" s="1"/>
      <c r="AO485" s="1"/>
      <c r="AP485" s="1"/>
      <c r="AQ485" s="1"/>
      <c r="AR485" s="1"/>
      <c r="AS485" s="1"/>
      <c r="AT485" s="1"/>
      <c r="AU485" s="24"/>
      <c r="AV485" s="24"/>
      <c r="AW485" s="24"/>
      <c r="AX485" s="236"/>
      <c r="AY485" s="236"/>
      <c r="AZ485" s="236"/>
      <c r="BA485" s="236"/>
    </row>
    <row r="486" spans="1:53" s="51" customFormat="1" x14ac:dyDescent="0.2">
      <c r="A486" s="1"/>
      <c r="B486" s="2"/>
      <c r="C486" s="3"/>
      <c r="S486" s="131"/>
      <c r="T486" s="131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  <c r="AG486" s="23"/>
      <c r="AH486" s="23"/>
      <c r="AI486" s="23"/>
      <c r="AJ486" s="23"/>
      <c r="AK486" s="23"/>
      <c r="AL486" s="23"/>
      <c r="AM486" s="1"/>
      <c r="AN486" s="1"/>
      <c r="AO486" s="1"/>
      <c r="AP486" s="1"/>
      <c r="AQ486" s="1"/>
      <c r="AR486" s="1"/>
      <c r="AS486" s="1"/>
      <c r="AT486" s="1"/>
      <c r="AU486" s="24"/>
      <c r="AV486" s="24"/>
      <c r="AW486" s="24"/>
      <c r="AX486" s="236"/>
      <c r="AY486" s="236"/>
      <c r="AZ486" s="236"/>
      <c r="BA486" s="236"/>
    </row>
    <row r="487" spans="1:53" s="51" customFormat="1" x14ac:dyDescent="0.2">
      <c r="A487" s="1"/>
      <c r="B487" s="2"/>
      <c r="C487" s="3"/>
      <c r="S487" s="131"/>
      <c r="T487" s="131"/>
      <c r="W487" s="23"/>
      <c r="X487" s="23"/>
      <c r="Y487" s="23"/>
      <c r="Z487" s="23"/>
      <c r="AA487" s="23"/>
      <c r="AB487" s="23"/>
      <c r="AC487" s="23"/>
      <c r="AD487" s="23"/>
      <c r="AE487" s="23"/>
      <c r="AF487" s="23"/>
      <c r="AG487" s="23"/>
      <c r="AH487" s="23"/>
      <c r="AI487" s="23"/>
      <c r="AJ487" s="23"/>
      <c r="AK487" s="23"/>
      <c r="AL487" s="23"/>
      <c r="AM487" s="1"/>
      <c r="AN487" s="1"/>
      <c r="AO487" s="1"/>
      <c r="AP487" s="1"/>
      <c r="AQ487" s="1"/>
      <c r="AR487" s="1"/>
      <c r="AS487" s="1"/>
      <c r="AT487" s="1"/>
      <c r="AU487" s="24"/>
      <c r="AV487" s="24"/>
      <c r="AW487" s="24"/>
      <c r="AX487" s="236"/>
      <c r="AY487" s="236"/>
      <c r="AZ487" s="236"/>
      <c r="BA487" s="236"/>
    </row>
    <row r="488" spans="1:53" s="51" customFormat="1" x14ac:dyDescent="0.2">
      <c r="A488" s="1"/>
      <c r="B488" s="2"/>
      <c r="C488" s="3"/>
      <c r="S488" s="131"/>
      <c r="T488" s="131"/>
      <c r="W488" s="23"/>
      <c r="X488" s="23"/>
      <c r="Y488" s="23"/>
      <c r="Z488" s="23"/>
      <c r="AA488" s="23"/>
      <c r="AB488" s="23"/>
      <c r="AC488" s="23"/>
      <c r="AD488" s="23"/>
      <c r="AE488" s="23"/>
      <c r="AF488" s="23"/>
      <c r="AG488" s="23"/>
      <c r="AH488" s="23"/>
      <c r="AI488" s="23"/>
      <c r="AJ488" s="23"/>
      <c r="AK488" s="23"/>
      <c r="AL488" s="23"/>
      <c r="AM488" s="1"/>
      <c r="AN488" s="1"/>
      <c r="AO488" s="1"/>
      <c r="AP488" s="1"/>
      <c r="AQ488" s="1"/>
      <c r="AR488" s="1"/>
      <c r="AS488" s="1"/>
      <c r="AT488" s="1"/>
      <c r="AU488" s="24"/>
      <c r="AV488" s="24"/>
      <c r="AW488" s="24"/>
      <c r="AX488" s="236"/>
      <c r="AY488" s="236"/>
      <c r="AZ488" s="236"/>
      <c r="BA488" s="236"/>
    </row>
    <row r="489" spans="1:53" s="51" customFormat="1" x14ac:dyDescent="0.2">
      <c r="A489" s="1"/>
      <c r="B489" s="2"/>
      <c r="C489" s="3"/>
      <c r="S489" s="131"/>
      <c r="T489" s="131"/>
      <c r="W489" s="23"/>
      <c r="X489" s="23"/>
      <c r="Y489" s="23"/>
      <c r="Z489" s="23"/>
      <c r="AA489" s="23"/>
      <c r="AB489" s="23"/>
      <c r="AC489" s="23"/>
      <c r="AD489" s="23"/>
      <c r="AE489" s="23"/>
      <c r="AF489" s="23"/>
      <c r="AG489" s="23"/>
      <c r="AH489" s="23"/>
      <c r="AI489" s="23"/>
      <c r="AJ489" s="23"/>
      <c r="AK489" s="23"/>
      <c r="AL489" s="23"/>
      <c r="AM489" s="1"/>
      <c r="AN489" s="1"/>
      <c r="AO489" s="1"/>
      <c r="AP489" s="1"/>
      <c r="AQ489" s="1"/>
      <c r="AR489" s="1"/>
      <c r="AS489" s="1"/>
      <c r="AT489" s="1"/>
      <c r="AU489" s="24"/>
      <c r="AV489" s="24"/>
      <c r="AW489" s="24"/>
      <c r="AX489" s="236"/>
      <c r="AY489" s="236"/>
      <c r="AZ489" s="236"/>
      <c r="BA489" s="236"/>
    </row>
    <row r="490" spans="1:53" s="51" customFormat="1" x14ac:dyDescent="0.2">
      <c r="A490" s="1"/>
      <c r="B490" s="2"/>
      <c r="C490" s="3"/>
      <c r="S490" s="131"/>
      <c r="T490" s="131"/>
      <c r="W490" s="23"/>
      <c r="X490" s="23"/>
      <c r="Y490" s="23"/>
      <c r="Z490" s="23"/>
      <c r="AA490" s="23"/>
      <c r="AB490" s="23"/>
      <c r="AC490" s="23"/>
      <c r="AD490" s="23"/>
      <c r="AE490" s="23"/>
      <c r="AF490" s="23"/>
      <c r="AG490" s="23"/>
      <c r="AH490" s="23"/>
      <c r="AI490" s="23"/>
      <c r="AJ490" s="23"/>
      <c r="AK490" s="23"/>
      <c r="AL490" s="23"/>
      <c r="AM490" s="1"/>
      <c r="AN490" s="1"/>
      <c r="AO490" s="1"/>
      <c r="AP490" s="1"/>
      <c r="AQ490" s="1"/>
      <c r="AR490" s="1"/>
      <c r="AS490" s="1"/>
      <c r="AT490" s="1"/>
      <c r="AU490" s="24"/>
      <c r="AV490" s="24"/>
      <c r="AW490" s="24"/>
      <c r="AX490" s="236"/>
      <c r="AY490" s="236"/>
      <c r="AZ490" s="236"/>
      <c r="BA490" s="236"/>
    </row>
    <row r="491" spans="1:53" s="51" customFormat="1" x14ac:dyDescent="0.2">
      <c r="A491" s="1"/>
      <c r="B491" s="2"/>
      <c r="C491" s="3"/>
      <c r="S491" s="131"/>
      <c r="T491" s="131"/>
      <c r="W491" s="23"/>
      <c r="X491" s="23"/>
      <c r="Y491" s="23"/>
      <c r="Z491" s="23"/>
      <c r="AA491" s="23"/>
      <c r="AB491" s="23"/>
      <c r="AC491" s="23"/>
      <c r="AD491" s="23"/>
      <c r="AE491" s="23"/>
      <c r="AF491" s="23"/>
      <c r="AG491" s="23"/>
      <c r="AH491" s="23"/>
      <c r="AI491" s="23"/>
      <c r="AJ491" s="23"/>
      <c r="AK491" s="23"/>
      <c r="AL491" s="23"/>
      <c r="AM491" s="1"/>
      <c r="AN491" s="1"/>
      <c r="AO491" s="1"/>
      <c r="AP491" s="1"/>
      <c r="AQ491" s="1"/>
      <c r="AR491" s="1"/>
      <c r="AS491" s="1"/>
      <c r="AT491" s="1"/>
      <c r="AU491" s="24"/>
      <c r="AV491" s="24"/>
      <c r="AW491" s="24"/>
      <c r="AX491" s="236"/>
      <c r="AY491" s="236"/>
      <c r="AZ491" s="236"/>
      <c r="BA491" s="236"/>
    </row>
    <row r="492" spans="1:53" s="51" customFormat="1" x14ac:dyDescent="0.2">
      <c r="A492" s="1"/>
      <c r="B492" s="2"/>
      <c r="C492" s="3"/>
      <c r="S492" s="131"/>
      <c r="T492" s="131"/>
      <c r="W492" s="23"/>
      <c r="X492" s="23"/>
      <c r="Y492" s="23"/>
      <c r="Z492" s="23"/>
      <c r="AA492" s="23"/>
      <c r="AB492" s="23"/>
      <c r="AC492" s="23"/>
      <c r="AD492" s="23"/>
      <c r="AE492" s="23"/>
      <c r="AF492" s="23"/>
      <c r="AG492" s="23"/>
      <c r="AH492" s="23"/>
      <c r="AI492" s="23"/>
      <c r="AJ492" s="23"/>
      <c r="AK492" s="23"/>
      <c r="AL492" s="23"/>
      <c r="AM492" s="1"/>
      <c r="AN492" s="1"/>
      <c r="AO492" s="1"/>
      <c r="AP492" s="1"/>
      <c r="AQ492" s="1"/>
      <c r="AR492" s="1"/>
      <c r="AS492" s="1"/>
      <c r="AT492" s="1"/>
      <c r="AU492" s="24"/>
      <c r="AV492" s="24"/>
      <c r="AW492" s="24"/>
      <c r="AX492" s="236"/>
      <c r="AY492" s="236"/>
      <c r="AZ492" s="236"/>
      <c r="BA492" s="236"/>
    </row>
    <row r="493" spans="1:53" s="51" customFormat="1" x14ac:dyDescent="0.2">
      <c r="A493" s="1"/>
      <c r="B493" s="2"/>
      <c r="C493" s="3"/>
      <c r="S493" s="131"/>
      <c r="T493" s="131"/>
      <c r="W493" s="23"/>
      <c r="X493" s="23"/>
      <c r="Y493" s="23"/>
      <c r="Z493" s="23"/>
      <c r="AA493" s="23"/>
      <c r="AB493" s="23"/>
      <c r="AC493" s="23"/>
      <c r="AD493" s="23"/>
      <c r="AE493" s="23"/>
      <c r="AF493" s="23"/>
      <c r="AG493" s="23"/>
      <c r="AH493" s="23"/>
      <c r="AI493" s="23"/>
      <c r="AJ493" s="23"/>
      <c r="AK493" s="23"/>
      <c r="AL493" s="23"/>
      <c r="AM493" s="1"/>
      <c r="AN493" s="1"/>
      <c r="AO493" s="1"/>
      <c r="AP493" s="1"/>
      <c r="AQ493" s="1"/>
      <c r="AR493" s="1"/>
      <c r="AS493" s="1"/>
      <c r="AT493" s="1"/>
      <c r="AU493" s="24"/>
      <c r="AV493" s="24"/>
      <c r="AW493" s="24"/>
      <c r="AX493" s="236"/>
      <c r="AY493" s="236"/>
      <c r="AZ493" s="236"/>
      <c r="BA493" s="236"/>
    </row>
    <row r="494" spans="1:53" s="51" customFormat="1" x14ac:dyDescent="0.2">
      <c r="A494" s="1"/>
      <c r="B494" s="2"/>
      <c r="C494" s="3"/>
      <c r="S494" s="131"/>
      <c r="T494" s="131"/>
      <c r="W494" s="23"/>
      <c r="X494" s="23"/>
      <c r="Y494" s="23"/>
      <c r="Z494" s="23"/>
      <c r="AA494" s="23"/>
      <c r="AB494" s="23"/>
      <c r="AC494" s="23"/>
      <c r="AD494" s="23"/>
      <c r="AE494" s="23"/>
      <c r="AF494" s="23"/>
      <c r="AG494" s="23"/>
      <c r="AH494" s="23"/>
      <c r="AI494" s="23"/>
      <c r="AJ494" s="23"/>
      <c r="AK494" s="23"/>
      <c r="AL494" s="23"/>
      <c r="AM494" s="1"/>
      <c r="AN494" s="1"/>
      <c r="AO494" s="1"/>
      <c r="AP494" s="1"/>
      <c r="AQ494" s="1"/>
      <c r="AR494" s="1"/>
      <c r="AS494" s="1"/>
      <c r="AT494" s="1"/>
      <c r="AU494" s="24"/>
      <c r="AV494" s="24"/>
      <c r="AW494" s="24"/>
      <c r="AX494" s="236"/>
      <c r="AY494" s="236"/>
      <c r="AZ494" s="236"/>
      <c r="BA494" s="236"/>
    </row>
    <row r="495" spans="1:53" s="51" customFormat="1" x14ac:dyDescent="0.2">
      <c r="A495" s="1"/>
      <c r="B495" s="2"/>
      <c r="C495" s="3"/>
      <c r="S495" s="131"/>
      <c r="T495" s="131"/>
      <c r="W495" s="23"/>
      <c r="X495" s="23"/>
      <c r="Y495" s="23"/>
      <c r="Z495" s="23"/>
      <c r="AA495" s="23"/>
      <c r="AB495" s="23"/>
      <c r="AC495" s="23"/>
      <c r="AD495" s="23"/>
      <c r="AE495" s="23"/>
      <c r="AF495" s="23"/>
      <c r="AG495" s="23"/>
      <c r="AH495" s="23"/>
      <c r="AI495" s="23"/>
      <c r="AJ495" s="23"/>
      <c r="AK495" s="23"/>
      <c r="AL495" s="23"/>
      <c r="AM495" s="1"/>
      <c r="AN495" s="1"/>
      <c r="AO495" s="1"/>
      <c r="AP495" s="1"/>
      <c r="AQ495" s="1"/>
      <c r="AR495" s="1"/>
      <c r="AS495" s="1"/>
      <c r="AT495" s="1"/>
      <c r="AU495" s="24"/>
      <c r="AV495" s="24"/>
      <c r="AW495" s="24"/>
      <c r="AX495" s="236"/>
      <c r="AY495" s="236"/>
      <c r="AZ495" s="236"/>
      <c r="BA495" s="236"/>
    </row>
    <row r="496" spans="1:53" s="51" customFormat="1" x14ac:dyDescent="0.2">
      <c r="A496" s="1"/>
      <c r="B496" s="2"/>
      <c r="C496" s="3"/>
      <c r="S496" s="131"/>
      <c r="T496" s="131"/>
      <c r="W496" s="23"/>
      <c r="X496" s="23"/>
      <c r="Y496" s="23"/>
      <c r="Z496" s="23"/>
      <c r="AA496" s="23"/>
      <c r="AB496" s="23"/>
      <c r="AC496" s="23"/>
      <c r="AD496" s="23"/>
      <c r="AE496" s="23"/>
      <c r="AF496" s="23"/>
      <c r="AG496" s="23"/>
      <c r="AH496" s="23"/>
      <c r="AI496" s="23"/>
      <c r="AJ496" s="23"/>
      <c r="AK496" s="23"/>
      <c r="AL496" s="23"/>
      <c r="AM496" s="1"/>
      <c r="AN496" s="1"/>
      <c r="AO496" s="1"/>
      <c r="AP496" s="1"/>
      <c r="AQ496" s="1"/>
      <c r="AR496" s="1"/>
      <c r="AS496" s="1"/>
      <c r="AT496" s="1"/>
      <c r="AU496" s="24"/>
      <c r="AV496" s="24"/>
      <c r="AW496" s="24"/>
      <c r="AX496" s="236"/>
      <c r="AY496" s="236"/>
      <c r="AZ496" s="236"/>
      <c r="BA496" s="236"/>
    </row>
    <row r="497" spans="1:53" s="51" customFormat="1" x14ac:dyDescent="0.2">
      <c r="A497" s="1"/>
      <c r="B497" s="2"/>
      <c r="C497" s="3"/>
      <c r="S497" s="131"/>
      <c r="T497" s="131"/>
      <c r="W497" s="23"/>
      <c r="X497" s="23"/>
      <c r="Y497" s="23"/>
      <c r="Z497" s="23"/>
      <c r="AA497" s="23"/>
      <c r="AB497" s="23"/>
      <c r="AC497" s="23"/>
      <c r="AD497" s="23"/>
      <c r="AE497" s="23"/>
      <c r="AF497" s="23"/>
      <c r="AG497" s="23"/>
      <c r="AH497" s="23"/>
      <c r="AI497" s="23"/>
      <c r="AJ497" s="23"/>
      <c r="AK497" s="23"/>
      <c r="AL497" s="23"/>
      <c r="AM497" s="1"/>
      <c r="AN497" s="1"/>
      <c r="AO497" s="1"/>
      <c r="AP497" s="1"/>
      <c r="AQ497" s="1"/>
      <c r="AR497" s="1"/>
      <c r="AS497" s="1"/>
      <c r="AT497" s="1"/>
      <c r="AU497" s="24"/>
      <c r="AV497" s="24"/>
      <c r="AW497" s="24"/>
      <c r="AX497" s="236"/>
      <c r="AY497" s="236"/>
      <c r="AZ497" s="236"/>
      <c r="BA497" s="236"/>
    </row>
    <row r="498" spans="1:53" s="51" customFormat="1" x14ac:dyDescent="0.2">
      <c r="A498" s="1"/>
      <c r="B498" s="2"/>
      <c r="C498" s="3"/>
      <c r="S498" s="131"/>
      <c r="T498" s="131"/>
      <c r="W498" s="23"/>
      <c r="X498" s="23"/>
      <c r="Y498" s="23"/>
      <c r="Z498" s="23"/>
      <c r="AA498" s="23"/>
      <c r="AB498" s="23"/>
      <c r="AC498" s="23"/>
      <c r="AD498" s="23"/>
      <c r="AE498" s="23"/>
      <c r="AF498" s="23"/>
      <c r="AG498" s="23"/>
      <c r="AH498" s="23"/>
      <c r="AI498" s="23"/>
      <c r="AJ498" s="23"/>
      <c r="AK498" s="23"/>
      <c r="AL498" s="23"/>
      <c r="AM498" s="1"/>
      <c r="AN498" s="1"/>
      <c r="AO498" s="1"/>
      <c r="AP498" s="1"/>
      <c r="AQ498" s="1"/>
      <c r="AR498" s="1"/>
      <c r="AS498" s="1"/>
      <c r="AT498" s="1"/>
      <c r="AU498" s="24"/>
      <c r="AV498" s="24"/>
      <c r="AW498" s="24"/>
      <c r="AX498" s="236"/>
      <c r="AY498" s="236"/>
      <c r="AZ498" s="236"/>
      <c r="BA498" s="236"/>
    </row>
    <row r="499" spans="1:53" s="51" customFormat="1" x14ac:dyDescent="0.2">
      <c r="A499" s="1"/>
      <c r="B499" s="2"/>
      <c r="C499" s="3"/>
      <c r="S499" s="131"/>
      <c r="T499" s="131"/>
      <c r="W499" s="23"/>
      <c r="X499" s="23"/>
      <c r="Y499" s="23"/>
      <c r="Z499" s="23"/>
      <c r="AA499" s="23"/>
      <c r="AB499" s="23"/>
      <c r="AC499" s="23"/>
      <c r="AD499" s="23"/>
      <c r="AE499" s="23"/>
      <c r="AF499" s="23"/>
      <c r="AG499" s="23"/>
      <c r="AH499" s="23"/>
      <c r="AI499" s="23"/>
      <c r="AJ499" s="23"/>
      <c r="AK499" s="23"/>
      <c r="AL499" s="23"/>
      <c r="AM499" s="1"/>
      <c r="AN499" s="1"/>
      <c r="AO499" s="1"/>
      <c r="AP499" s="1"/>
      <c r="AQ499" s="1"/>
      <c r="AR499" s="1"/>
      <c r="AS499" s="1"/>
      <c r="AT499" s="1"/>
      <c r="AU499" s="24"/>
      <c r="AV499" s="24"/>
      <c r="AW499" s="24"/>
      <c r="AX499" s="236"/>
      <c r="AY499" s="236"/>
      <c r="AZ499" s="236"/>
      <c r="BA499" s="236"/>
    </row>
    <row r="500" spans="1:53" s="51" customFormat="1" x14ac:dyDescent="0.2">
      <c r="A500" s="1"/>
      <c r="B500" s="2"/>
      <c r="C500" s="3"/>
      <c r="S500" s="131"/>
      <c r="T500" s="131"/>
      <c r="W500" s="23"/>
      <c r="X500" s="23"/>
      <c r="Y500" s="23"/>
      <c r="Z500" s="23"/>
      <c r="AA500" s="23"/>
      <c r="AB500" s="23"/>
      <c r="AC500" s="23"/>
      <c r="AD500" s="23"/>
      <c r="AE500" s="23"/>
      <c r="AF500" s="23"/>
      <c r="AG500" s="23"/>
      <c r="AH500" s="23"/>
      <c r="AI500" s="23"/>
      <c r="AJ500" s="23"/>
      <c r="AK500" s="23"/>
      <c r="AL500" s="23"/>
      <c r="AM500" s="1"/>
      <c r="AN500" s="1"/>
      <c r="AO500" s="1"/>
      <c r="AP500" s="1"/>
      <c r="AQ500" s="1"/>
      <c r="AR500" s="1"/>
      <c r="AS500" s="1"/>
      <c r="AT500" s="1"/>
      <c r="AU500" s="24"/>
      <c r="AV500" s="24"/>
      <c r="AW500" s="24"/>
      <c r="AX500" s="236"/>
      <c r="AY500" s="236"/>
      <c r="AZ500" s="236"/>
      <c r="BA500" s="236"/>
    </row>
    <row r="501" spans="1:53" s="51" customFormat="1" x14ac:dyDescent="0.2">
      <c r="A501" s="1"/>
      <c r="B501" s="2"/>
      <c r="C501" s="3"/>
      <c r="S501" s="131"/>
      <c r="T501" s="131"/>
      <c r="W501" s="23"/>
      <c r="X501" s="23"/>
      <c r="Y501" s="23"/>
      <c r="Z501" s="23"/>
      <c r="AA501" s="23"/>
      <c r="AB501" s="23"/>
      <c r="AC501" s="23"/>
      <c r="AD501" s="23"/>
      <c r="AE501" s="23"/>
      <c r="AF501" s="23"/>
      <c r="AG501" s="23"/>
      <c r="AH501" s="23"/>
      <c r="AI501" s="23"/>
      <c r="AJ501" s="23"/>
      <c r="AK501" s="23"/>
      <c r="AL501" s="23"/>
      <c r="AM501" s="1"/>
      <c r="AN501" s="1"/>
      <c r="AO501" s="1"/>
      <c r="AP501" s="1"/>
      <c r="AQ501" s="1"/>
      <c r="AR501" s="1"/>
      <c r="AS501" s="1"/>
      <c r="AT501" s="1"/>
      <c r="AU501" s="24"/>
      <c r="AV501" s="24"/>
      <c r="AW501" s="24"/>
      <c r="AX501" s="236"/>
      <c r="AY501" s="236"/>
      <c r="AZ501" s="236"/>
      <c r="BA501" s="236"/>
    </row>
    <row r="502" spans="1:53" s="51" customFormat="1" x14ac:dyDescent="0.2">
      <c r="A502" s="1"/>
      <c r="B502" s="2"/>
      <c r="C502" s="3"/>
      <c r="S502" s="131"/>
      <c r="T502" s="131"/>
      <c r="W502" s="23"/>
      <c r="X502" s="23"/>
      <c r="Y502" s="23"/>
      <c r="Z502" s="23"/>
      <c r="AA502" s="23"/>
      <c r="AB502" s="23"/>
      <c r="AC502" s="23"/>
      <c r="AD502" s="23"/>
      <c r="AE502" s="23"/>
      <c r="AF502" s="23"/>
      <c r="AG502" s="23"/>
      <c r="AH502" s="23"/>
      <c r="AI502" s="23"/>
      <c r="AJ502" s="23"/>
      <c r="AK502" s="23"/>
      <c r="AL502" s="23"/>
      <c r="AM502" s="1"/>
      <c r="AN502" s="1"/>
      <c r="AO502" s="1"/>
      <c r="AP502" s="1"/>
      <c r="AQ502" s="1"/>
      <c r="AR502" s="1"/>
      <c r="AS502" s="1"/>
      <c r="AT502" s="1"/>
      <c r="AU502" s="24"/>
      <c r="AV502" s="24"/>
      <c r="AW502" s="24"/>
      <c r="AX502" s="236"/>
      <c r="AY502" s="236"/>
      <c r="AZ502" s="236"/>
      <c r="BA502" s="236"/>
    </row>
    <row r="503" spans="1:53" s="51" customFormat="1" x14ac:dyDescent="0.2">
      <c r="A503" s="1"/>
      <c r="B503" s="2"/>
      <c r="C503" s="3"/>
      <c r="S503" s="131"/>
      <c r="T503" s="131"/>
      <c r="W503" s="23"/>
      <c r="X503" s="23"/>
      <c r="Y503" s="23"/>
      <c r="Z503" s="23"/>
      <c r="AA503" s="23"/>
      <c r="AB503" s="23"/>
      <c r="AC503" s="23"/>
      <c r="AD503" s="23"/>
      <c r="AE503" s="23"/>
      <c r="AF503" s="23"/>
      <c r="AG503" s="23"/>
      <c r="AH503" s="23"/>
      <c r="AI503" s="23"/>
      <c r="AJ503" s="23"/>
      <c r="AK503" s="23"/>
      <c r="AL503" s="23"/>
      <c r="AM503" s="1"/>
      <c r="AN503" s="1"/>
      <c r="AO503" s="1"/>
      <c r="AP503" s="1"/>
      <c r="AQ503" s="1"/>
      <c r="AR503" s="1"/>
      <c r="AS503" s="1"/>
      <c r="AT503" s="1"/>
      <c r="AU503" s="24"/>
      <c r="AV503" s="24"/>
      <c r="AW503" s="24"/>
      <c r="AX503" s="236"/>
      <c r="AY503" s="236"/>
      <c r="AZ503" s="236"/>
      <c r="BA503" s="236"/>
    </row>
    <row r="504" spans="1:53" s="51" customFormat="1" x14ac:dyDescent="0.2">
      <c r="A504" s="1"/>
      <c r="B504" s="2"/>
      <c r="C504" s="3"/>
      <c r="S504" s="131"/>
      <c r="T504" s="131"/>
      <c r="W504" s="23"/>
      <c r="X504" s="23"/>
      <c r="Y504" s="23"/>
      <c r="Z504" s="23"/>
      <c r="AA504" s="23"/>
      <c r="AB504" s="23"/>
      <c r="AC504" s="23"/>
      <c r="AD504" s="23"/>
      <c r="AE504" s="23"/>
      <c r="AF504" s="23"/>
      <c r="AG504" s="23"/>
      <c r="AH504" s="23"/>
      <c r="AI504" s="23"/>
      <c r="AJ504" s="23"/>
      <c r="AK504" s="23"/>
      <c r="AL504" s="23"/>
      <c r="AM504" s="1"/>
      <c r="AN504" s="1"/>
      <c r="AO504" s="1"/>
      <c r="AP504" s="1"/>
      <c r="AQ504" s="1"/>
      <c r="AR504" s="1"/>
      <c r="AS504" s="1"/>
      <c r="AT504" s="1"/>
      <c r="AU504" s="24"/>
      <c r="AV504" s="24"/>
      <c r="AW504" s="24"/>
      <c r="AX504" s="236"/>
      <c r="AY504" s="236"/>
      <c r="AZ504" s="236"/>
      <c r="BA504" s="236"/>
    </row>
    <row r="505" spans="1:53" s="51" customFormat="1" x14ac:dyDescent="0.2">
      <c r="A505" s="1"/>
      <c r="B505" s="2"/>
      <c r="C505" s="3"/>
      <c r="S505" s="131"/>
      <c r="T505" s="131"/>
      <c r="W505" s="23"/>
      <c r="X505" s="23"/>
      <c r="Y505" s="23"/>
      <c r="Z505" s="23"/>
      <c r="AA505" s="23"/>
      <c r="AB505" s="23"/>
      <c r="AC505" s="23"/>
      <c r="AD505" s="23"/>
      <c r="AE505" s="23"/>
      <c r="AF505" s="23"/>
      <c r="AG505" s="23"/>
      <c r="AH505" s="23"/>
      <c r="AI505" s="23"/>
      <c r="AJ505" s="23"/>
      <c r="AK505" s="23"/>
      <c r="AL505" s="23"/>
      <c r="AM505" s="1"/>
      <c r="AN505" s="1"/>
      <c r="AO505" s="1"/>
      <c r="AP505" s="1"/>
      <c r="AQ505" s="1"/>
      <c r="AR505" s="1"/>
      <c r="AS505" s="1"/>
      <c r="AT505" s="1"/>
      <c r="AU505" s="24"/>
      <c r="AV505" s="24"/>
      <c r="AW505" s="24"/>
      <c r="AX505" s="236"/>
      <c r="AY505" s="236"/>
      <c r="AZ505" s="236"/>
      <c r="BA505" s="236"/>
    </row>
    <row r="506" spans="1:53" s="51" customFormat="1" x14ac:dyDescent="0.2">
      <c r="A506" s="1"/>
      <c r="B506" s="2"/>
      <c r="C506" s="3"/>
      <c r="S506" s="131"/>
      <c r="T506" s="131"/>
      <c r="W506" s="23"/>
      <c r="X506" s="23"/>
      <c r="Y506" s="23"/>
      <c r="Z506" s="23"/>
      <c r="AA506" s="23"/>
      <c r="AB506" s="23"/>
      <c r="AC506" s="23"/>
      <c r="AD506" s="23"/>
      <c r="AE506" s="23"/>
      <c r="AF506" s="23"/>
      <c r="AG506" s="23"/>
      <c r="AH506" s="23"/>
      <c r="AI506" s="23"/>
      <c r="AJ506" s="23"/>
      <c r="AK506" s="23"/>
      <c r="AL506" s="23"/>
      <c r="AM506" s="1"/>
      <c r="AN506" s="1"/>
      <c r="AO506" s="1"/>
      <c r="AP506" s="1"/>
      <c r="AQ506" s="1"/>
      <c r="AR506" s="1"/>
      <c r="AS506" s="1"/>
      <c r="AT506" s="1"/>
      <c r="AU506" s="24"/>
      <c r="AV506" s="24"/>
      <c r="AW506" s="24"/>
      <c r="AX506" s="236"/>
      <c r="AY506" s="236"/>
      <c r="AZ506" s="236"/>
      <c r="BA506" s="236"/>
    </row>
    <row r="507" spans="1:53" s="51" customFormat="1" x14ac:dyDescent="0.2">
      <c r="A507" s="1"/>
      <c r="B507" s="2"/>
      <c r="C507" s="3"/>
      <c r="S507" s="131"/>
      <c r="T507" s="131"/>
      <c r="W507" s="23"/>
      <c r="X507" s="23"/>
      <c r="Y507" s="23"/>
      <c r="Z507" s="23"/>
      <c r="AA507" s="23"/>
      <c r="AB507" s="23"/>
      <c r="AC507" s="23"/>
      <c r="AD507" s="23"/>
      <c r="AE507" s="23"/>
      <c r="AF507" s="23"/>
      <c r="AG507" s="23"/>
      <c r="AH507" s="23"/>
      <c r="AI507" s="23"/>
      <c r="AJ507" s="23"/>
      <c r="AK507" s="23"/>
      <c r="AL507" s="23"/>
      <c r="AM507" s="1"/>
      <c r="AN507" s="1"/>
      <c r="AO507" s="1"/>
      <c r="AP507" s="1"/>
      <c r="AQ507" s="1"/>
      <c r="AR507" s="1"/>
      <c r="AS507" s="1"/>
      <c r="AT507" s="1"/>
      <c r="AU507" s="24"/>
      <c r="AV507" s="24"/>
      <c r="AW507" s="24"/>
      <c r="AX507" s="236"/>
      <c r="AY507" s="236"/>
      <c r="AZ507" s="236"/>
      <c r="BA507" s="236"/>
    </row>
    <row r="508" spans="1:53" s="51" customFormat="1" x14ac:dyDescent="0.2">
      <c r="A508" s="1"/>
      <c r="B508" s="2"/>
      <c r="C508" s="3"/>
      <c r="S508" s="131"/>
      <c r="T508" s="131"/>
      <c r="W508" s="23"/>
      <c r="X508" s="23"/>
      <c r="Y508" s="23"/>
      <c r="Z508" s="23"/>
      <c r="AA508" s="23"/>
      <c r="AB508" s="23"/>
      <c r="AC508" s="23"/>
      <c r="AD508" s="23"/>
      <c r="AE508" s="23"/>
      <c r="AF508" s="23"/>
      <c r="AG508" s="23"/>
      <c r="AH508" s="23"/>
      <c r="AI508" s="23"/>
      <c r="AJ508" s="23"/>
      <c r="AK508" s="23"/>
      <c r="AL508" s="23"/>
      <c r="AM508" s="1"/>
      <c r="AN508" s="1"/>
      <c r="AO508" s="1"/>
      <c r="AP508" s="1"/>
      <c r="AQ508" s="1"/>
      <c r="AR508" s="1"/>
      <c r="AS508" s="1"/>
      <c r="AT508" s="1"/>
      <c r="AU508" s="24"/>
      <c r="AV508" s="24"/>
      <c r="AW508" s="24"/>
      <c r="AX508" s="236"/>
      <c r="AY508" s="236"/>
      <c r="AZ508" s="236"/>
      <c r="BA508" s="236"/>
    </row>
    <row r="509" spans="1:53" s="51" customFormat="1" x14ac:dyDescent="0.2">
      <c r="A509" s="1"/>
      <c r="B509" s="2"/>
      <c r="C509" s="3"/>
      <c r="S509" s="131"/>
      <c r="T509" s="131"/>
      <c r="W509" s="23"/>
      <c r="X509" s="23"/>
      <c r="Y509" s="23"/>
      <c r="Z509" s="23"/>
      <c r="AA509" s="23"/>
      <c r="AB509" s="23"/>
      <c r="AC509" s="23"/>
      <c r="AD509" s="23"/>
      <c r="AE509" s="23"/>
      <c r="AF509" s="23"/>
      <c r="AG509" s="23"/>
      <c r="AH509" s="23"/>
      <c r="AI509" s="23"/>
      <c r="AJ509" s="23"/>
      <c r="AK509" s="23"/>
      <c r="AL509" s="23"/>
      <c r="AM509" s="1"/>
      <c r="AN509" s="1"/>
      <c r="AO509" s="1"/>
      <c r="AP509" s="1"/>
      <c r="AQ509" s="1"/>
      <c r="AR509" s="1"/>
      <c r="AS509" s="1"/>
      <c r="AT509" s="1"/>
      <c r="AU509" s="24"/>
      <c r="AV509" s="24"/>
      <c r="AW509" s="24"/>
      <c r="AX509" s="236"/>
      <c r="AY509" s="236"/>
      <c r="AZ509" s="236"/>
      <c r="BA509" s="236"/>
    </row>
    <row r="510" spans="1:53" s="51" customFormat="1" x14ac:dyDescent="0.2">
      <c r="A510" s="1"/>
      <c r="B510" s="2"/>
      <c r="C510" s="3"/>
      <c r="S510" s="131"/>
      <c r="T510" s="131"/>
      <c r="W510" s="23"/>
      <c r="X510" s="23"/>
      <c r="Y510" s="23"/>
      <c r="Z510" s="23"/>
      <c r="AA510" s="23"/>
      <c r="AB510" s="23"/>
      <c r="AC510" s="23"/>
      <c r="AD510" s="23"/>
      <c r="AE510" s="23"/>
      <c r="AF510" s="23"/>
      <c r="AG510" s="23"/>
      <c r="AH510" s="23"/>
      <c r="AI510" s="23"/>
      <c r="AJ510" s="23"/>
      <c r="AK510" s="23"/>
      <c r="AL510" s="23"/>
      <c r="AM510" s="1"/>
      <c r="AN510" s="1"/>
      <c r="AO510" s="1"/>
      <c r="AP510" s="1"/>
      <c r="AQ510" s="1"/>
      <c r="AR510" s="1"/>
      <c r="AS510" s="1"/>
      <c r="AT510" s="1"/>
      <c r="AU510" s="24"/>
      <c r="AV510" s="24"/>
      <c r="AW510" s="24"/>
      <c r="AX510" s="236"/>
      <c r="AY510" s="236"/>
      <c r="AZ510" s="236"/>
      <c r="BA510" s="236"/>
    </row>
    <row r="511" spans="1:53" s="51" customFormat="1" x14ac:dyDescent="0.2">
      <c r="A511" s="1"/>
      <c r="B511" s="2"/>
      <c r="C511" s="3"/>
      <c r="S511" s="131"/>
      <c r="T511" s="131"/>
      <c r="W511" s="23"/>
      <c r="X511" s="23"/>
      <c r="Y511" s="23"/>
      <c r="Z511" s="23"/>
      <c r="AA511" s="23"/>
      <c r="AB511" s="23"/>
      <c r="AC511" s="23"/>
      <c r="AD511" s="23"/>
      <c r="AE511" s="23"/>
      <c r="AF511" s="23"/>
      <c r="AG511" s="23"/>
      <c r="AH511" s="23"/>
      <c r="AI511" s="23"/>
      <c r="AJ511" s="23"/>
      <c r="AK511" s="23"/>
      <c r="AL511" s="23"/>
      <c r="AM511" s="1"/>
      <c r="AN511" s="1"/>
      <c r="AO511" s="1"/>
      <c r="AP511" s="1"/>
      <c r="AQ511" s="1"/>
      <c r="AR511" s="1"/>
      <c r="AS511" s="1"/>
      <c r="AT511" s="1"/>
      <c r="AU511" s="24"/>
      <c r="AV511" s="24"/>
      <c r="AW511" s="24"/>
      <c r="AX511" s="236"/>
      <c r="AY511" s="236"/>
      <c r="AZ511" s="236"/>
      <c r="BA511" s="236"/>
    </row>
    <row r="512" spans="1:53" s="51" customFormat="1" x14ac:dyDescent="0.2">
      <c r="A512" s="1"/>
      <c r="B512" s="2"/>
      <c r="C512" s="3"/>
      <c r="S512" s="131"/>
      <c r="T512" s="131"/>
      <c r="W512" s="23"/>
      <c r="X512" s="23"/>
      <c r="Y512" s="23"/>
      <c r="Z512" s="23"/>
      <c r="AA512" s="23"/>
      <c r="AB512" s="23"/>
      <c r="AC512" s="23"/>
      <c r="AD512" s="23"/>
      <c r="AE512" s="23"/>
      <c r="AF512" s="23"/>
      <c r="AG512" s="23"/>
      <c r="AH512" s="23"/>
      <c r="AI512" s="23"/>
      <c r="AJ512" s="23"/>
      <c r="AK512" s="23"/>
      <c r="AL512" s="23"/>
      <c r="AM512" s="1"/>
      <c r="AN512" s="1"/>
      <c r="AO512" s="1"/>
      <c r="AP512" s="1"/>
      <c r="AQ512" s="1"/>
      <c r="AR512" s="1"/>
      <c r="AS512" s="1"/>
      <c r="AT512" s="1"/>
      <c r="AU512" s="24"/>
      <c r="AV512" s="24"/>
      <c r="AW512" s="24"/>
      <c r="AX512" s="236"/>
      <c r="AY512" s="236"/>
      <c r="AZ512" s="236"/>
      <c r="BA512" s="236"/>
    </row>
    <row r="513" spans="1:53" s="51" customFormat="1" x14ac:dyDescent="0.2">
      <c r="A513" s="1"/>
      <c r="B513" s="2"/>
      <c r="C513" s="3"/>
      <c r="S513" s="131"/>
      <c r="T513" s="131"/>
      <c r="W513" s="23"/>
      <c r="X513" s="23"/>
      <c r="Y513" s="23"/>
      <c r="Z513" s="23"/>
      <c r="AA513" s="23"/>
      <c r="AB513" s="23"/>
      <c r="AC513" s="23"/>
      <c r="AD513" s="23"/>
      <c r="AE513" s="23"/>
      <c r="AF513" s="23"/>
      <c r="AG513" s="23"/>
      <c r="AH513" s="23"/>
      <c r="AI513" s="23"/>
      <c r="AJ513" s="23"/>
      <c r="AK513" s="23"/>
      <c r="AL513" s="23"/>
      <c r="AM513" s="1"/>
      <c r="AN513" s="1"/>
      <c r="AO513" s="1"/>
      <c r="AP513" s="1"/>
      <c r="AQ513" s="1"/>
      <c r="AR513" s="1"/>
      <c r="AS513" s="1"/>
      <c r="AT513" s="1"/>
      <c r="AU513" s="24"/>
      <c r="AV513" s="24"/>
      <c r="AW513" s="24"/>
      <c r="AX513" s="236"/>
      <c r="AY513" s="236"/>
      <c r="AZ513" s="236"/>
      <c r="BA513" s="236"/>
    </row>
    <row r="514" spans="1:53" s="51" customFormat="1" x14ac:dyDescent="0.2">
      <c r="A514" s="1"/>
      <c r="B514" s="2"/>
      <c r="C514" s="3"/>
      <c r="S514" s="131"/>
      <c r="T514" s="131"/>
      <c r="W514" s="23"/>
      <c r="X514" s="23"/>
      <c r="Y514" s="23"/>
      <c r="Z514" s="23"/>
      <c r="AA514" s="23"/>
      <c r="AB514" s="23"/>
      <c r="AC514" s="23"/>
      <c r="AD514" s="23"/>
      <c r="AE514" s="23"/>
      <c r="AF514" s="23"/>
      <c r="AG514" s="23"/>
      <c r="AH514" s="23"/>
      <c r="AI514" s="23"/>
      <c r="AJ514" s="23"/>
      <c r="AK514" s="23"/>
      <c r="AL514" s="23"/>
      <c r="AM514" s="1"/>
      <c r="AN514" s="1"/>
      <c r="AO514" s="1"/>
      <c r="AP514" s="1"/>
      <c r="AQ514" s="1"/>
      <c r="AR514" s="1"/>
      <c r="AS514" s="1"/>
      <c r="AT514" s="1"/>
      <c r="AU514" s="24"/>
      <c r="AV514" s="24"/>
      <c r="AW514" s="24"/>
      <c r="AX514" s="236"/>
      <c r="AY514" s="236"/>
      <c r="AZ514" s="236"/>
      <c r="BA514" s="236"/>
    </row>
    <row r="515" spans="1:53" s="51" customFormat="1" x14ac:dyDescent="0.2">
      <c r="A515" s="1"/>
      <c r="B515" s="2"/>
      <c r="C515" s="3"/>
      <c r="S515" s="131"/>
      <c r="T515" s="131"/>
      <c r="W515" s="23"/>
      <c r="X515" s="23"/>
      <c r="Y515" s="23"/>
      <c r="Z515" s="23"/>
      <c r="AA515" s="23"/>
      <c r="AB515" s="23"/>
      <c r="AC515" s="23"/>
      <c r="AD515" s="23"/>
      <c r="AE515" s="23"/>
      <c r="AF515" s="23"/>
      <c r="AG515" s="23"/>
      <c r="AH515" s="23"/>
      <c r="AI515" s="23"/>
      <c r="AJ515" s="23"/>
      <c r="AK515" s="23"/>
      <c r="AL515" s="23"/>
      <c r="AM515" s="1"/>
      <c r="AN515" s="1"/>
      <c r="AO515" s="1"/>
      <c r="AP515" s="1"/>
      <c r="AQ515" s="1"/>
      <c r="AR515" s="1"/>
      <c r="AS515" s="1"/>
      <c r="AT515" s="1"/>
      <c r="AU515" s="24"/>
      <c r="AV515" s="24"/>
      <c r="AW515" s="24"/>
      <c r="AX515" s="236"/>
      <c r="AY515" s="236"/>
      <c r="AZ515" s="236"/>
      <c r="BA515" s="236"/>
    </row>
    <row r="516" spans="1:53" s="51" customFormat="1" x14ac:dyDescent="0.2">
      <c r="A516" s="1"/>
      <c r="B516" s="2"/>
      <c r="C516" s="3"/>
      <c r="S516" s="131"/>
      <c r="T516" s="131"/>
      <c r="W516" s="23"/>
      <c r="X516" s="23"/>
      <c r="Y516" s="23"/>
      <c r="Z516" s="23"/>
      <c r="AA516" s="23"/>
      <c r="AB516" s="23"/>
      <c r="AC516" s="23"/>
      <c r="AD516" s="23"/>
      <c r="AE516" s="23"/>
      <c r="AF516" s="23"/>
      <c r="AG516" s="23"/>
      <c r="AH516" s="23"/>
      <c r="AI516" s="23"/>
      <c r="AJ516" s="23"/>
      <c r="AK516" s="23"/>
      <c r="AL516" s="23"/>
      <c r="AM516" s="1"/>
      <c r="AN516" s="1"/>
      <c r="AO516" s="1"/>
      <c r="AP516" s="1"/>
      <c r="AQ516" s="1"/>
      <c r="AR516" s="1"/>
      <c r="AS516" s="1"/>
      <c r="AT516" s="1"/>
      <c r="AU516" s="24"/>
      <c r="AV516" s="24"/>
      <c r="AW516" s="24"/>
      <c r="AX516" s="236"/>
      <c r="AY516" s="236"/>
      <c r="AZ516" s="236"/>
      <c r="BA516" s="236"/>
    </row>
    <row r="517" spans="1:53" s="51" customFormat="1" x14ac:dyDescent="0.2">
      <c r="A517" s="1"/>
      <c r="B517" s="2"/>
      <c r="C517" s="3"/>
      <c r="S517" s="131"/>
      <c r="T517" s="131"/>
      <c r="W517" s="23"/>
      <c r="X517" s="23"/>
      <c r="Y517" s="23"/>
      <c r="Z517" s="23"/>
      <c r="AA517" s="23"/>
      <c r="AB517" s="23"/>
      <c r="AC517" s="23"/>
      <c r="AD517" s="23"/>
      <c r="AE517" s="23"/>
      <c r="AF517" s="23"/>
      <c r="AG517" s="23"/>
      <c r="AH517" s="23"/>
      <c r="AI517" s="23"/>
      <c r="AJ517" s="23"/>
      <c r="AK517" s="23"/>
      <c r="AL517" s="23"/>
      <c r="AM517" s="1"/>
      <c r="AN517" s="1"/>
      <c r="AO517" s="1"/>
      <c r="AP517" s="1"/>
      <c r="AQ517" s="1"/>
      <c r="AR517" s="1"/>
      <c r="AS517" s="1"/>
      <c r="AT517" s="1"/>
      <c r="AU517" s="24"/>
      <c r="AV517" s="24"/>
      <c r="AW517" s="24"/>
      <c r="AX517" s="236"/>
      <c r="AY517" s="236"/>
      <c r="AZ517" s="236"/>
      <c r="BA517" s="236"/>
    </row>
    <row r="518" spans="1:53" s="51" customFormat="1" x14ac:dyDescent="0.2">
      <c r="A518" s="1"/>
      <c r="B518" s="2"/>
      <c r="C518" s="3"/>
      <c r="S518" s="131"/>
      <c r="T518" s="131"/>
      <c r="W518" s="23"/>
      <c r="X518" s="23"/>
      <c r="Y518" s="23"/>
      <c r="Z518" s="23"/>
      <c r="AA518" s="23"/>
      <c r="AB518" s="23"/>
      <c r="AC518" s="23"/>
      <c r="AD518" s="23"/>
      <c r="AE518" s="23"/>
      <c r="AF518" s="23"/>
      <c r="AG518" s="23"/>
      <c r="AH518" s="23"/>
      <c r="AI518" s="23"/>
      <c r="AJ518" s="23"/>
      <c r="AK518" s="23"/>
      <c r="AL518" s="23"/>
      <c r="AM518" s="1"/>
      <c r="AN518" s="1"/>
      <c r="AO518" s="1"/>
      <c r="AP518" s="1"/>
      <c r="AQ518" s="1"/>
      <c r="AR518" s="1"/>
      <c r="AS518" s="1"/>
      <c r="AT518" s="1"/>
      <c r="AU518" s="24"/>
      <c r="AV518" s="24"/>
      <c r="AW518" s="24"/>
      <c r="AX518" s="236"/>
      <c r="AY518" s="236"/>
      <c r="AZ518" s="236"/>
      <c r="BA518" s="236"/>
    </row>
    <row r="519" spans="1:53" s="51" customFormat="1" x14ac:dyDescent="0.2">
      <c r="A519" s="1"/>
      <c r="B519" s="2"/>
      <c r="C519" s="3"/>
      <c r="S519" s="131"/>
      <c r="T519" s="131"/>
      <c r="W519" s="23"/>
      <c r="X519" s="23"/>
      <c r="Y519" s="23"/>
      <c r="Z519" s="23"/>
      <c r="AA519" s="23"/>
      <c r="AB519" s="23"/>
      <c r="AC519" s="23"/>
      <c r="AD519" s="23"/>
      <c r="AE519" s="23"/>
      <c r="AF519" s="23"/>
      <c r="AG519" s="23"/>
      <c r="AH519" s="23"/>
      <c r="AI519" s="23"/>
      <c r="AJ519" s="23"/>
      <c r="AK519" s="23"/>
      <c r="AL519" s="23"/>
      <c r="AM519" s="1"/>
      <c r="AN519" s="1"/>
      <c r="AO519" s="1"/>
      <c r="AP519" s="1"/>
      <c r="AQ519" s="1"/>
      <c r="AR519" s="1"/>
      <c r="AS519" s="1"/>
      <c r="AT519" s="1"/>
      <c r="AU519" s="24"/>
      <c r="AV519" s="24"/>
      <c r="AW519" s="24"/>
      <c r="AX519" s="236"/>
      <c r="AY519" s="236"/>
      <c r="AZ519" s="236"/>
      <c r="BA519" s="236"/>
    </row>
    <row r="520" spans="1:53" s="51" customFormat="1" x14ac:dyDescent="0.2">
      <c r="A520" s="1"/>
      <c r="B520" s="2"/>
      <c r="C520" s="3"/>
      <c r="S520" s="131"/>
      <c r="T520" s="131"/>
      <c r="W520" s="23"/>
      <c r="X520" s="23"/>
      <c r="Y520" s="23"/>
      <c r="Z520" s="23"/>
      <c r="AA520" s="23"/>
      <c r="AB520" s="23"/>
      <c r="AC520" s="23"/>
      <c r="AD520" s="23"/>
      <c r="AE520" s="23"/>
      <c r="AF520" s="23"/>
      <c r="AG520" s="23"/>
      <c r="AH520" s="23"/>
      <c r="AI520" s="23"/>
      <c r="AJ520" s="23"/>
      <c r="AK520" s="23"/>
      <c r="AL520" s="23"/>
      <c r="AM520" s="1"/>
      <c r="AN520" s="1"/>
      <c r="AO520" s="1"/>
      <c r="AP520" s="1"/>
      <c r="AQ520" s="1"/>
      <c r="AR520" s="1"/>
      <c r="AS520" s="1"/>
      <c r="AT520" s="1"/>
      <c r="AU520" s="24"/>
      <c r="AV520" s="24"/>
      <c r="AW520" s="24"/>
      <c r="AX520" s="236"/>
      <c r="AY520" s="236"/>
      <c r="AZ520" s="236"/>
      <c r="BA520" s="236"/>
    </row>
    <row r="521" spans="1:53" s="51" customFormat="1" x14ac:dyDescent="0.2">
      <c r="A521" s="1"/>
      <c r="B521" s="2"/>
      <c r="C521" s="3"/>
      <c r="S521" s="131"/>
      <c r="T521" s="131"/>
      <c r="W521" s="23"/>
      <c r="X521" s="23"/>
      <c r="Y521" s="23"/>
      <c r="Z521" s="23"/>
      <c r="AA521" s="23"/>
      <c r="AB521" s="23"/>
      <c r="AC521" s="23"/>
      <c r="AD521" s="23"/>
      <c r="AE521" s="23"/>
      <c r="AF521" s="23"/>
      <c r="AG521" s="23"/>
      <c r="AH521" s="23"/>
      <c r="AI521" s="23"/>
      <c r="AJ521" s="23"/>
      <c r="AK521" s="23"/>
      <c r="AL521" s="23"/>
      <c r="AM521" s="1"/>
      <c r="AN521" s="1"/>
      <c r="AO521" s="1"/>
      <c r="AP521" s="1"/>
      <c r="AQ521" s="1"/>
      <c r="AR521" s="1"/>
      <c r="AS521" s="1"/>
      <c r="AT521" s="1"/>
      <c r="AU521" s="24"/>
      <c r="AV521" s="24"/>
      <c r="AW521" s="24"/>
      <c r="AX521" s="236"/>
      <c r="AY521" s="236"/>
      <c r="AZ521" s="236"/>
      <c r="BA521" s="236"/>
    </row>
    <row r="522" spans="1:53" s="51" customFormat="1" x14ac:dyDescent="0.2">
      <c r="A522" s="1"/>
      <c r="B522" s="2"/>
      <c r="C522" s="3"/>
      <c r="S522" s="131"/>
      <c r="T522" s="131"/>
      <c r="W522" s="23"/>
      <c r="X522" s="23"/>
      <c r="Y522" s="23"/>
      <c r="Z522" s="23"/>
      <c r="AA522" s="23"/>
      <c r="AB522" s="23"/>
      <c r="AC522" s="23"/>
      <c r="AD522" s="23"/>
      <c r="AE522" s="23"/>
      <c r="AF522" s="23"/>
      <c r="AG522" s="23"/>
      <c r="AH522" s="23"/>
      <c r="AI522" s="23"/>
      <c r="AJ522" s="23"/>
      <c r="AK522" s="23"/>
      <c r="AL522" s="23"/>
      <c r="AM522" s="1"/>
      <c r="AN522" s="1"/>
      <c r="AO522" s="1"/>
      <c r="AP522" s="1"/>
      <c r="AQ522" s="1"/>
      <c r="AR522" s="1"/>
      <c r="AS522" s="1"/>
      <c r="AT522" s="1"/>
      <c r="AU522" s="24"/>
      <c r="AV522" s="24"/>
      <c r="AW522" s="24"/>
      <c r="AX522" s="236"/>
      <c r="AY522" s="236"/>
      <c r="AZ522" s="236"/>
      <c r="BA522" s="236"/>
    </row>
    <row r="523" spans="1:53" s="51" customFormat="1" x14ac:dyDescent="0.2">
      <c r="A523" s="1"/>
      <c r="B523" s="2"/>
      <c r="C523" s="3"/>
      <c r="S523" s="131"/>
      <c r="T523" s="131"/>
      <c r="W523" s="23"/>
      <c r="X523" s="23"/>
      <c r="Y523" s="23"/>
      <c r="Z523" s="23"/>
      <c r="AA523" s="23"/>
      <c r="AB523" s="23"/>
      <c r="AC523" s="23"/>
      <c r="AD523" s="23"/>
      <c r="AE523" s="23"/>
      <c r="AF523" s="23"/>
      <c r="AG523" s="23"/>
      <c r="AH523" s="23"/>
      <c r="AI523" s="23"/>
      <c r="AJ523" s="23"/>
      <c r="AK523" s="23"/>
      <c r="AL523" s="23"/>
      <c r="AM523" s="1"/>
      <c r="AN523" s="1"/>
      <c r="AO523" s="1"/>
      <c r="AP523" s="1"/>
      <c r="AQ523" s="1"/>
      <c r="AR523" s="1"/>
      <c r="AS523" s="1"/>
      <c r="AT523" s="1"/>
      <c r="AU523" s="24"/>
      <c r="AV523" s="24"/>
      <c r="AW523" s="24"/>
      <c r="AX523" s="236"/>
      <c r="AY523" s="236"/>
      <c r="AZ523" s="236"/>
      <c r="BA523" s="236"/>
    </row>
    <row r="524" spans="1:53" s="51" customFormat="1" x14ac:dyDescent="0.2">
      <c r="A524" s="1"/>
      <c r="B524" s="2"/>
      <c r="C524" s="3"/>
      <c r="S524" s="131"/>
      <c r="T524" s="131"/>
      <c r="W524" s="23"/>
      <c r="X524" s="23"/>
      <c r="Y524" s="23"/>
      <c r="Z524" s="23"/>
      <c r="AA524" s="23"/>
      <c r="AB524" s="23"/>
      <c r="AC524" s="23"/>
      <c r="AD524" s="23"/>
      <c r="AE524" s="23"/>
      <c r="AF524" s="23"/>
      <c r="AG524" s="23"/>
      <c r="AH524" s="23"/>
      <c r="AI524" s="23"/>
      <c r="AJ524" s="23"/>
      <c r="AK524" s="23"/>
      <c r="AL524" s="23"/>
      <c r="AM524" s="1"/>
      <c r="AN524" s="1"/>
      <c r="AO524" s="1"/>
      <c r="AP524" s="1"/>
      <c r="AQ524" s="1"/>
      <c r="AR524" s="1"/>
      <c r="AS524" s="1"/>
      <c r="AT524" s="1"/>
      <c r="AU524" s="24"/>
      <c r="AV524" s="24"/>
      <c r="AW524" s="24"/>
      <c r="AX524" s="236"/>
      <c r="AY524" s="236"/>
      <c r="AZ524" s="236"/>
      <c r="BA524" s="236"/>
    </row>
    <row r="525" spans="1:53" s="51" customFormat="1" x14ac:dyDescent="0.2">
      <c r="A525" s="1"/>
      <c r="B525" s="2"/>
      <c r="C525" s="3"/>
      <c r="S525" s="131"/>
      <c r="T525" s="131"/>
      <c r="W525" s="23"/>
      <c r="X525" s="23"/>
      <c r="Y525" s="23"/>
      <c r="Z525" s="23"/>
      <c r="AA525" s="23"/>
      <c r="AB525" s="23"/>
      <c r="AC525" s="23"/>
      <c r="AD525" s="23"/>
      <c r="AE525" s="23"/>
      <c r="AF525" s="23"/>
      <c r="AG525" s="23"/>
      <c r="AH525" s="23"/>
      <c r="AI525" s="23"/>
      <c r="AJ525" s="23"/>
      <c r="AK525" s="23"/>
      <c r="AL525" s="23"/>
      <c r="AM525" s="1"/>
      <c r="AN525" s="1"/>
      <c r="AO525" s="1"/>
      <c r="AP525" s="1"/>
      <c r="AQ525" s="1"/>
      <c r="AR525" s="1"/>
      <c r="AS525" s="1"/>
      <c r="AT525" s="1"/>
      <c r="AU525" s="24"/>
      <c r="AV525" s="24"/>
      <c r="AW525" s="24"/>
      <c r="AX525" s="236"/>
      <c r="AY525" s="236"/>
      <c r="AZ525" s="236"/>
      <c r="BA525" s="236"/>
    </row>
    <row r="526" spans="1:53" s="51" customFormat="1" x14ac:dyDescent="0.2">
      <c r="A526" s="1"/>
      <c r="B526" s="2"/>
      <c r="C526" s="3"/>
      <c r="S526" s="131"/>
      <c r="T526" s="131"/>
      <c r="W526" s="23"/>
      <c r="X526" s="23"/>
      <c r="Y526" s="23"/>
      <c r="Z526" s="23"/>
      <c r="AA526" s="23"/>
      <c r="AB526" s="23"/>
      <c r="AC526" s="23"/>
      <c r="AD526" s="23"/>
      <c r="AE526" s="23"/>
      <c r="AF526" s="23"/>
      <c r="AG526" s="23"/>
      <c r="AH526" s="23"/>
      <c r="AI526" s="23"/>
      <c r="AJ526" s="23"/>
      <c r="AK526" s="23"/>
      <c r="AL526" s="23"/>
      <c r="AM526" s="1"/>
      <c r="AN526" s="1"/>
      <c r="AO526" s="1"/>
      <c r="AP526" s="1"/>
      <c r="AQ526" s="1"/>
      <c r="AR526" s="1"/>
      <c r="AS526" s="1"/>
      <c r="AT526" s="1"/>
      <c r="AU526" s="24"/>
      <c r="AV526" s="24"/>
      <c r="AW526" s="24"/>
      <c r="AX526" s="236"/>
      <c r="AY526" s="236"/>
      <c r="AZ526" s="236"/>
      <c r="BA526" s="236"/>
    </row>
    <row r="527" spans="1:53" s="51" customFormat="1" x14ac:dyDescent="0.2">
      <c r="A527" s="1"/>
      <c r="B527" s="2"/>
      <c r="C527" s="3"/>
      <c r="S527" s="131"/>
      <c r="T527" s="131"/>
      <c r="W527" s="23"/>
      <c r="X527" s="23"/>
      <c r="Y527" s="23"/>
      <c r="Z527" s="23"/>
      <c r="AA527" s="23"/>
      <c r="AB527" s="23"/>
      <c r="AC527" s="23"/>
      <c r="AD527" s="23"/>
      <c r="AE527" s="23"/>
      <c r="AF527" s="23"/>
      <c r="AG527" s="23"/>
      <c r="AH527" s="23"/>
      <c r="AI527" s="23"/>
      <c r="AJ527" s="23"/>
      <c r="AK527" s="23"/>
      <c r="AL527" s="23"/>
      <c r="AM527" s="1"/>
      <c r="AN527" s="1"/>
      <c r="AO527" s="1"/>
      <c r="AP527" s="1"/>
      <c r="AQ527" s="1"/>
      <c r="AR527" s="1"/>
      <c r="AS527" s="1"/>
      <c r="AT527" s="1"/>
      <c r="AU527" s="24"/>
      <c r="AV527" s="24"/>
      <c r="AW527" s="24"/>
      <c r="AX527" s="236"/>
      <c r="AY527" s="236"/>
      <c r="AZ527" s="236"/>
      <c r="BA527" s="236"/>
    </row>
    <row r="528" spans="1:53" s="51" customFormat="1" x14ac:dyDescent="0.2">
      <c r="A528" s="1"/>
      <c r="B528" s="2"/>
      <c r="C528" s="3"/>
      <c r="S528" s="131"/>
      <c r="T528" s="131"/>
      <c r="W528" s="23"/>
      <c r="X528" s="23"/>
      <c r="Y528" s="23"/>
      <c r="Z528" s="23"/>
      <c r="AA528" s="23"/>
      <c r="AB528" s="23"/>
      <c r="AC528" s="23"/>
      <c r="AD528" s="23"/>
      <c r="AE528" s="23"/>
      <c r="AF528" s="23"/>
      <c r="AG528" s="23"/>
      <c r="AH528" s="23"/>
      <c r="AI528" s="23"/>
      <c r="AJ528" s="23"/>
      <c r="AK528" s="23"/>
      <c r="AL528" s="23"/>
      <c r="AM528" s="1"/>
      <c r="AN528" s="1"/>
      <c r="AO528" s="1"/>
      <c r="AP528" s="1"/>
      <c r="AQ528" s="1"/>
      <c r="AR528" s="1"/>
      <c r="AS528" s="1"/>
      <c r="AT528" s="1"/>
      <c r="AU528" s="24"/>
      <c r="AV528" s="24"/>
      <c r="AW528" s="24"/>
      <c r="AX528" s="236"/>
      <c r="AY528" s="236"/>
      <c r="AZ528" s="236"/>
      <c r="BA528" s="236"/>
    </row>
    <row r="529" spans="1:53" s="51" customFormat="1" x14ac:dyDescent="0.2">
      <c r="A529" s="1"/>
      <c r="B529" s="2"/>
      <c r="C529" s="3"/>
      <c r="S529" s="131"/>
      <c r="T529" s="131"/>
      <c r="W529" s="23"/>
      <c r="X529" s="23"/>
      <c r="Y529" s="23"/>
      <c r="Z529" s="23"/>
      <c r="AA529" s="23"/>
      <c r="AB529" s="23"/>
      <c r="AC529" s="23"/>
      <c r="AD529" s="23"/>
      <c r="AE529" s="23"/>
      <c r="AF529" s="23"/>
      <c r="AG529" s="23"/>
      <c r="AH529" s="23"/>
      <c r="AI529" s="23"/>
      <c r="AJ529" s="23"/>
      <c r="AK529" s="23"/>
      <c r="AL529" s="23"/>
      <c r="AM529" s="1"/>
      <c r="AN529" s="1"/>
      <c r="AO529" s="1"/>
      <c r="AP529" s="1"/>
      <c r="AQ529" s="1"/>
      <c r="AR529" s="1"/>
      <c r="AS529" s="1"/>
      <c r="AT529" s="1"/>
      <c r="AU529" s="24"/>
      <c r="AV529" s="24"/>
      <c r="AW529" s="24"/>
      <c r="AX529" s="236"/>
      <c r="AY529" s="236"/>
      <c r="AZ529" s="236"/>
      <c r="BA529" s="236"/>
    </row>
    <row r="530" spans="1:53" s="51" customFormat="1" x14ac:dyDescent="0.2">
      <c r="A530" s="1"/>
      <c r="B530" s="2"/>
      <c r="C530" s="3"/>
      <c r="S530" s="131"/>
      <c r="T530" s="131"/>
      <c r="W530" s="23"/>
      <c r="X530" s="23"/>
      <c r="Y530" s="23"/>
      <c r="Z530" s="23"/>
      <c r="AA530" s="23"/>
      <c r="AB530" s="23"/>
      <c r="AC530" s="23"/>
      <c r="AD530" s="23"/>
      <c r="AE530" s="23"/>
      <c r="AF530" s="23"/>
      <c r="AG530" s="23"/>
      <c r="AH530" s="23"/>
      <c r="AI530" s="23"/>
      <c r="AJ530" s="23"/>
      <c r="AK530" s="23"/>
      <c r="AL530" s="23"/>
      <c r="AM530" s="1"/>
      <c r="AN530" s="1"/>
      <c r="AO530" s="1"/>
      <c r="AP530" s="1"/>
      <c r="AQ530" s="1"/>
      <c r="AR530" s="1"/>
      <c r="AS530" s="1"/>
      <c r="AT530" s="1"/>
      <c r="AU530" s="24"/>
      <c r="AV530" s="24"/>
      <c r="AW530" s="24"/>
      <c r="AX530" s="236"/>
      <c r="AY530" s="236"/>
      <c r="AZ530" s="236"/>
      <c r="BA530" s="236"/>
    </row>
    <row r="531" spans="1:53" s="51" customFormat="1" x14ac:dyDescent="0.2">
      <c r="A531" s="1"/>
      <c r="B531" s="2"/>
      <c r="C531" s="3"/>
      <c r="S531" s="131"/>
      <c r="T531" s="131"/>
      <c r="W531" s="23"/>
      <c r="X531" s="23"/>
      <c r="Y531" s="23"/>
      <c r="Z531" s="23"/>
      <c r="AA531" s="23"/>
      <c r="AB531" s="23"/>
      <c r="AC531" s="23"/>
      <c r="AD531" s="23"/>
      <c r="AE531" s="23"/>
      <c r="AF531" s="23"/>
      <c r="AG531" s="23"/>
      <c r="AH531" s="23"/>
      <c r="AI531" s="23"/>
      <c r="AJ531" s="23"/>
      <c r="AK531" s="23"/>
      <c r="AL531" s="23"/>
      <c r="AM531" s="1"/>
      <c r="AN531" s="1"/>
      <c r="AO531" s="1"/>
      <c r="AP531" s="1"/>
      <c r="AQ531" s="1"/>
      <c r="AR531" s="1"/>
      <c r="AS531" s="1"/>
      <c r="AT531" s="1"/>
      <c r="AU531" s="24"/>
      <c r="AV531" s="24"/>
      <c r="AW531" s="24"/>
      <c r="AX531" s="236"/>
      <c r="AY531" s="236"/>
      <c r="AZ531" s="236"/>
      <c r="BA531" s="236"/>
    </row>
    <row r="532" spans="1:53" s="51" customFormat="1" x14ac:dyDescent="0.2">
      <c r="A532" s="1"/>
      <c r="B532" s="2"/>
      <c r="C532" s="3"/>
      <c r="S532" s="131"/>
      <c r="T532" s="131"/>
      <c r="W532" s="23"/>
      <c r="X532" s="23"/>
      <c r="Y532" s="23"/>
      <c r="Z532" s="23"/>
      <c r="AA532" s="23"/>
      <c r="AB532" s="23"/>
      <c r="AC532" s="23"/>
      <c r="AD532" s="23"/>
      <c r="AE532" s="23"/>
      <c r="AF532" s="23"/>
      <c r="AG532" s="23"/>
      <c r="AH532" s="23"/>
      <c r="AI532" s="23"/>
      <c r="AJ532" s="23"/>
      <c r="AK532" s="23"/>
      <c r="AL532" s="23"/>
      <c r="AM532" s="1"/>
      <c r="AN532" s="1"/>
      <c r="AO532" s="1"/>
      <c r="AP532" s="1"/>
      <c r="AQ532" s="1"/>
      <c r="AR532" s="1"/>
      <c r="AS532" s="1"/>
      <c r="AT532" s="1"/>
      <c r="AU532" s="24"/>
      <c r="AV532" s="24"/>
      <c r="AW532" s="24"/>
      <c r="AX532" s="236"/>
      <c r="AY532" s="236"/>
      <c r="AZ532" s="236"/>
      <c r="BA532" s="236"/>
    </row>
    <row r="533" spans="1:53" s="51" customFormat="1" x14ac:dyDescent="0.2">
      <c r="A533" s="1"/>
      <c r="B533" s="2"/>
      <c r="C533" s="3"/>
      <c r="S533" s="131"/>
      <c r="T533" s="131"/>
      <c r="W533" s="23"/>
      <c r="X533" s="23"/>
      <c r="Y533" s="23"/>
      <c r="Z533" s="23"/>
      <c r="AA533" s="23"/>
      <c r="AB533" s="23"/>
      <c r="AC533" s="23"/>
      <c r="AD533" s="23"/>
      <c r="AE533" s="23"/>
      <c r="AF533" s="23"/>
      <c r="AG533" s="23"/>
      <c r="AH533" s="23"/>
      <c r="AI533" s="23"/>
      <c r="AJ533" s="23"/>
      <c r="AK533" s="23"/>
      <c r="AL533" s="23"/>
      <c r="AM533" s="1"/>
      <c r="AN533" s="1"/>
      <c r="AO533" s="1"/>
      <c r="AP533" s="1"/>
      <c r="AQ533" s="1"/>
      <c r="AR533" s="1"/>
      <c r="AS533" s="1"/>
      <c r="AT533" s="1"/>
      <c r="AU533" s="24"/>
      <c r="AV533" s="24"/>
      <c r="AW533" s="24"/>
      <c r="AX533" s="236"/>
      <c r="AY533" s="236"/>
      <c r="AZ533" s="236"/>
      <c r="BA533" s="236"/>
    </row>
    <row r="534" spans="1:53" s="51" customFormat="1" x14ac:dyDescent="0.2">
      <c r="A534" s="1"/>
      <c r="B534" s="2"/>
      <c r="C534" s="3"/>
      <c r="S534" s="131"/>
      <c r="T534" s="131"/>
      <c r="W534" s="23"/>
      <c r="X534" s="23"/>
      <c r="Y534" s="23"/>
      <c r="Z534" s="23"/>
      <c r="AA534" s="23"/>
      <c r="AB534" s="23"/>
      <c r="AC534" s="23"/>
      <c r="AD534" s="23"/>
      <c r="AE534" s="23"/>
      <c r="AF534" s="23"/>
      <c r="AG534" s="23"/>
      <c r="AH534" s="23"/>
      <c r="AI534" s="23"/>
      <c r="AJ534" s="23"/>
      <c r="AK534" s="23"/>
      <c r="AL534" s="23"/>
      <c r="AM534" s="1"/>
      <c r="AN534" s="1"/>
      <c r="AO534" s="1"/>
      <c r="AP534" s="1"/>
      <c r="AQ534" s="1"/>
      <c r="AR534" s="1"/>
      <c r="AS534" s="1"/>
      <c r="AT534" s="1"/>
      <c r="AU534" s="24"/>
      <c r="AV534" s="24"/>
      <c r="AW534" s="24"/>
      <c r="AX534" s="236"/>
      <c r="AY534" s="236"/>
      <c r="AZ534" s="236"/>
      <c r="BA534" s="236"/>
    </row>
    <row r="535" spans="1:53" s="51" customFormat="1" x14ac:dyDescent="0.2">
      <c r="A535" s="1"/>
      <c r="B535" s="2"/>
      <c r="C535" s="3"/>
      <c r="S535" s="131"/>
      <c r="T535" s="131"/>
      <c r="W535" s="23"/>
      <c r="X535" s="23"/>
      <c r="Y535" s="23"/>
      <c r="Z535" s="23"/>
      <c r="AA535" s="23"/>
      <c r="AB535" s="23"/>
      <c r="AC535" s="23"/>
      <c r="AD535" s="23"/>
      <c r="AE535" s="23"/>
      <c r="AF535" s="23"/>
      <c r="AG535" s="23"/>
      <c r="AH535" s="23"/>
      <c r="AI535" s="23"/>
      <c r="AJ535" s="23"/>
      <c r="AK535" s="23"/>
      <c r="AL535" s="23"/>
      <c r="AM535" s="1"/>
      <c r="AN535" s="1"/>
      <c r="AO535" s="1"/>
      <c r="AP535" s="1"/>
      <c r="AQ535" s="1"/>
      <c r="AR535" s="1"/>
      <c r="AS535" s="1"/>
      <c r="AT535" s="1"/>
      <c r="AU535" s="24"/>
      <c r="AV535" s="24"/>
      <c r="AW535" s="24"/>
      <c r="AX535" s="236"/>
      <c r="AY535" s="236"/>
      <c r="AZ535" s="236"/>
      <c r="BA535" s="236"/>
    </row>
    <row r="536" spans="1:53" s="51" customFormat="1" x14ac:dyDescent="0.2">
      <c r="A536" s="1"/>
      <c r="B536" s="2"/>
      <c r="C536" s="3"/>
      <c r="S536" s="131"/>
      <c r="T536" s="131"/>
      <c r="W536" s="23"/>
      <c r="X536" s="23"/>
      <c r="Y536" s="23"/>
      <c r="Z536" s="23"/>
      <c r="AA536" s="23"/>
      <c r="AB536" s="23"/>
      <c r="AC536" s="23"/>
      <c r="AD536" s="23"/>
      <c r="AE536" s="23"/>
      <c r="AF536" s="23"/>
      <c r="AG536" s="23"/>
      <c r="AH536" s="23"/>
      <c r="AI536" s="23"/>
      <c r="AJ536" s="23"/>
      <c r="AK536" s="23"/>
      <c r="AL536" s="23"/>
      <c r="AM536" s="1"/>
      <c r="AN536" s="1"/>
      <c r="AO536" s="1"/>
      <c r="AP536" s="1"/>
      <c r="AQ536" s="1"/>
      <c r="AR536" s="1"/>
      <c r="AS536" s="1"/>
      <c r="AT536" s="1"/>
      <c r="AU536" s="24"/>
      <c r="AV536" s="24"/>
      <c r="AW536" s="24"/>
      <c r="AX536" s="236"/>
      <c r="AY536" s="236"/>
      <c r="AZ536" s="236"/>
      <c r="BA536" s="236"/>
    </row>
    <row r="537" spans="1:53" s="51" customFormat="1" x14ac:dyDescent="0.2">
      <c r="A537" s="1"/>
      <c r="B537" s="2"/>
      <c r="C537" s="3"/>
      <c r="S537" s="131"/>
      <c r="T537" s="131"/>
      <c r="W537" s="23"/>
      <c r="X537" s="23"/>
      <c r="Y537" s="23"/>
      <c r="Z537" s="23"/>
      <c r="AA537" s="23"/>
      <c r="AB537" s="23"/>
      <c r="AC537" s="23"/>
      <c r="AD537" s="23"/>
      <c r="AE537" s="23"/>
      <c r="AF537" s="23"/>
      <c r="AG537" s="23"/>
      <c r="AH537" s="23"/>
      <c r="AI537" s="23"/>
      <c r="AJ537" s="23"/>
      <c r="AK537" s="23"/>
      <c r="AL537" s="23"/>
      <c r="AM537" s="1"/>
      <c r="AN537" s="1"/>
      <c r="AO537" s="1"/>
      <c r="AP537" s="1"/>
      <c r="AQ537" s="1"/>
      <c r="AR537" s="1"/>
      <c r="AS537" s="1"/>
      <c r="AT537" s="1"/>
      <c r="AU537" s="24"/>
      <c r="AV537" s="24"/>
      <c r="AW537" s="24"/>
      <c r="AX537" s="236"/>
      <c r="AY537" s="236"/>
      <c r="AZ537" s="236"/>
      <c r="BA537" s="236"/>
    </row>
    <row r="538" spans="1:53" s="51" customFormat="1" x14ac:dyDescent="0.2">
      <c r="A538" s="1"/>
      <c r="B538" s="2"/>
      <c r="C538" s="3"/>
      <c r="S538" s="131"/>
      <c r="T538" s="131"/>
      <c r="W538" s="23"/>
      <c r="X538" s="23"/>
      <c r="Y538" s="23"/>
      <c r="Z538" s="23"/>
      <c r="AA538" s="23"/>
      <c r="AB538" s="23"/>
      <c r="AC538" s="23"/>
      <c r="AD538" s="23"/>
      <c r="AE538" s="23"/>
      <c r="AF538" s="23"/>
      <c r="AG538" s="23"/>
      <c r="AH538" s="23"/>
      <c r="AI538" s="23"/>
      <c r="AJ538" s="23"/>
      <c r="AK538" s="23"/>
      <c r="AL538" s="23"/>
      <c r="AM538" s="1"/>
      <c r="AN538" s="1"/>
      <c r="AO538" s="1"/>
      <c r="AP538" s="1"/>
      <c r="AQ538" s="1"/>
      <c r="AR538" s="1"/>
      <c r="AS538" s="1"/>
      <c r="AT538" s="1"/>
      <c r="AU538" s="24"/>
      <c r="AV538" s="24"/>
      <c r="AW538" s="24"/>
      <c r="AX538" s="236"/>
      <c r="AY538" s="236"/>
      <c r="AZ538" s="236"/>
      <c r="BA538" s="236"/>
    </row>
    <row r="539" spans="1:53" s="51" customFormat="1" x14ac:dyDescent="0.2">
      <c r="A539" s="1"/>
      <c r="B539" s="2"/>
      <c r="C539" s="3"/>
      <c r="S539" s="131"/>
      <c r="T539" s="131"/>
      <c r="W539" s="23"/>
      <c r="X539" s="23"/>
      <c r="Y539" s="23"/>
      <c r="Z539" s="23"/>
      <c r="AA539" s="23"/>
      <c r="AB539" s="23"/>
      <c r="AC539" s="23"/>
      <c r="AD539" s="23"/>
      <c r="AE539" s="23"/>
      <c r="AF539" s="23"/>
      <c r="AG539" s="23"/>
      <c r="AH539" s="23"/>
      <c r="AI539" s="23"/>
      <c r="AJ539" s="23"/>
      <c r="AK539" s="23"/>
      <c r="AL539" s="23"/>
      <c r="AM539" s="1"/>
      <c r="AN539" s="1"/>
      <c r="AO539" s="1"/>
      <c r="AP539" s="1"/>
      <c r="AQ539" s="1"/>
      <c r="AR539" s="1"/>
      <c r="AS539" s="1"/>
      <c r="AT539" s="1"/>
      <c r="AU539" s="24"/>
      <c r="AV539" s="24"/>
      <c r="AW539" s="24"/>
      <c r="AX539" s="236"/>
      <c r="AY539" s="236"/>
      <c r="AZ539" s="236"/>
      <c r="BA539" s="236"/>
    </row>
    <row r="540" spans="1:53" s="51" customFormat="1" x14ac:dyDescent="0.2">
      <c r="A540" s="1"/>
      <c r="B540" s="2"/>
      <c r="C540" s="3"/>
      <c r="S540" s="131"/>
      <c r="T540" s="131"/>
      <c r="W540" s="23"/>
      <c r="X540" s="23"/>
      <c r="Y540" s="23"/>
      <c r="Z540" s="23"/>
      <c r="AA540" s="23"/>
      <c r="AB540" s="23"/>
      <c r="AC540" s="23"/>
      <c r="AD540" s="23"/>
      <c r="AE540" s="23"/>
      <c r="AF540" s="23"/>
      <c r="AG540" s="23"/>
      <c r="AH540" s="23"/>
      <c r="AI540" s="23"/>
      <c r="AJ540" s="23"/>
      <c r="AK540" s="23"/>
      <c r="AL540" s="23"/>
      <c r="AM540" s="1"/>
      <c r="AN540" s="1"/>
      <c r="AO540" s="1"/>
      <c r="AP540" s="1"/>
      <c r="AQ540" s="1"/>
      <c r="AR540" s="1"/>
      <c r="AS540" s="1"/>
      <c r="AT540" s="1"/>
      <c r="AU540" s="24"/>
      <c r="AV540" s="24"/>
      <c r="AW540" s="24"/>
      <c r="AX540" s="236"/>
      <c r="AY540" s="236"/>
      <c r="AZ540" s="236"/>
      <c r="BA540" s="236"/>
    </row>
    <row r="541" spans="1:53" s="51" customFormat="1" x14ac:dyDescent="0.2">
      <c r="A541" s="1"/>
      <c r="B541" s="2"/>
      <c r="C541" s="3"/>
      <c r="S541" s="131"/>
      <c r="T541" s="131"/>
      <c r="W541" s="23"/>
      <c r="X541" s="23"/>
      <c r="Y541" s="23"/>
      <c r="Z541" s="23"/>
      <c r="AA541" s="23"/>
      <c r="AB541" s="23"/>
      <c r="AC541" s="23"/>
      <c r="AD541" s="23"/>
      <c r="AE541" s="23"/>
      <c r="AF541" s="23"/>
      <c r="AG541" s="23"/>
      <c r="AH541" s="23"/>
      <c r="AI541" s="23"/>
      <c r="AJ541" s="23"/>
      <c r="AK541" s="23"/>
      <c r="AL541" s="23"/>
      <c r="AM541" s="1"/>
      <c r="AN541" s="1"/>
      <c r="AO541" s="1"/>
      <c r="AP541" s="1"/>
      <c r="AQ541" s="1"/>
      <c r="AR541" s="1"/>
      <c r="AS541" s="1"/>
      <c r="AT541" s="1"/>
      <c r="AU541" s="24"/>
      <c r="AV541" s="24"/>
      <c r="AW541" s="24"/>
      <c r="AX541" s="236"/>
      <c r="AY541" s="236"/>
      <c r="AZ541" s="236"/>
      <c r="BA541" s="236"/>
    </row>
    <row r="542" spans="1:53" s="51" customFormat="1" x14ac:dyDescent="0.2">
      <c r="A542" s="1"/>
      <c r="B542" s="2"/>
      <c r="C542" s="3"/>
      <c r="S542" s="131"/>
      <c r="T542" s="131"/>
      <c r="W542" s="23"/>
      <c r="X542" s="23"/>
      <c r="Y542" s="23"/>
      <c r="Z542" s="23"/>
      <c r="AA542" s="23"/>
      <c r="AB542" s="23"/>
      <c r="AC542" s="23"/>
      <c r="AD542" s="23"/>
      <c r="AE542" s="23"/>
      <c r="AF542" s="23"/>
      <c r="AG542" s="23"/>
      <c r="AH542" s="23"/>
      <c r="AI542" s="23"/>
      <c r="AJ542" s="23"/>
      <c r="AK542" s="23"/>
      <c r="AL542" s="23"/>
      <c r="AM542" s="1"/>
      <c r="AN542" s="1"/>
      <c r="AO542" s="1"/>
      <c r="AP542" s="1"/>
      <c r="AQ542" s="1"/>
      <c r="AR542" s="1"/>
      <c r="AS542" s="1"/>
      <c r="AT542" s="1"/>
      <c r="AU542" s="24"/>
      <c r="AV542" s="24"/>
      <c r="AW542" s="24"/>
      <c r="AX542" s="236"/>
      <c r="AY542" s="236"/>
      <c r="AZ542" s="236"/>
      <c r="BA542" s="236"/>
    </row>
    <row r="543" spans="1:53" s="51" customFormat="1" x14ac:dyDescent="0.2">
      <c r="A543" s="1"/>
      <c r="B543" s="2"/>
      <c r="C543" s="3"/>
      <c r="S543" s="131"/>
      <c r="T543" s="131"/>
      <c r="W543" s="23"/>
      <c r="X543" s="23"/>
      <c r="Y543" s="23"/>
      <c r="Z543" s="23"/>
      <c r="AA543" s="23"/>
      <c r="AB543" s="23"/>
      <c r="AC543" s="23"/>
      <c r="AD543" s="23"/>
      <c r="AE543" s="23"/>
      <c r="AF543" s="23"/>
      <c r="AG543" s="23"/>
      <c r="AH543" s="23"/>
      <c r="AI543" s="23"/>
      <c r="AJ543" s="23"/>
      <c r="AK543" s="23"/>
      <c r="AL543" s="23"/>
      <c r="AM543" s="1"/>
      <c r="AN543" s="1"/>
      <c r="AO543" s="1"/>
      <c r="AP543" s="1"/>
      <c r="AQ543" s="1"/>
      <c r="AR543" s="1"/>
      <c r="AS543" s="1"/>
      <c r="AT543" s="1"/>
      <c r="AU543" s="24"/>
      <c r="AV543" s="24"/>
      <c r="AW543" s="24"/>
      <c r="AX543" s="236"/>
      <c r="AY543" s="236"/>
      <c r="AZ543" s="236"/>
      <c r="BA543" s="236"/>
    </row>
    <row r="544" spans="1:53" s="51" customFormat="1" x14ac:dyDescent="0.2">
      <c r="A544" s="1"/>
      <c r="B544" s="2"/>
      <c r="C544" s="3"/>
      <c r="S544" s="131"/>
      <c r="T544" s="131"/>
      <c r="W544" s="23"/>
      <c r="X544" s="23"/>
      <c r="Y544" s="23"/>
      <c r="Z544" s="23"/>
      <c r="AA544" s="23"/>
      <c r="AB544" s="23"/>
      <c r="AC544" s="23"/>
      <c r="AD544" s="23"/>
      <c r="AE544" s="23"/>
      <c r="AF544" s="23"/>
      <c r="AG544" s="23"/>
      <c r="AH544" s="23"/>
      <c r="AI544" s="23"/>
      <c r="AJ544" s="23"/>
      <c r="AK544" s="23"/>
      <c r="AL544" s="23"/>
      <c r="AM544" s="1"/>
      <c r="AN544" s="1"/>
      <c r="AO544" s="1"/>
      <c r="AP544" s="1"/>
      <c r="AQ544" s="1"/>
      <c r="AR544" s="1"/>
      <c r="AS544" s="1"/>
      <c r="AT544" s="1"/>
      <c r="AU544" s="24"/>
      <c r="AV544" s="24"/>
      <c r="AW544" s="24"/>
      <c r="AX544" s="236"/>
      <c r="AY544" s="236"/>
      <c r="AZ544" s="236"/>
      <c r="BA544" s="236"/>
    </row>
    <row r="545" spans="1:53" s="51" customFormat="1" x14ac:dyDescent="0.2">
      <c r="A545" s="1"/>
      <c r="B545" s="2"/>
      <c r="C545" s="3"/>
      <c r="S545" s="131"/>
      <c r="T545" s="131"/>
      <c r="W545" s="23"/>
      <c r="X545" s="23"/>
      <c r="Y545" s="23"/>
      <c r="Z545" s="23"/>
      <c r="AA545" s="23"/>
      <c r="AB545" s="23"/>
      <c r="AC545" s="23"/>
      <c r="AD545" s="23"/>
      <c r="AE545" s="23"/>
      <c r="AF545" s="23"/>
      <c r="AG545" s="23"/>
      <c r="AH545" s="23"/>
      <c r="AI545" s="23"/>
      <c r="AJ545" s="23"/>
      <c r="AK545" s="23"/>
      <c r="AL545" s="23"/>
      <c r="AM545" s="1"/>
      <c r="AN545" s="1"/>
      <c r="AO545" s="1"/>
      <c r="AP545" s="1"/>
      <c r="AQ545" s="1"/>
      <c r="AR545" s="1"/>
      <c r="AS545" s="1"/>
      <c r="AT545" s="1"/>
      <c r="AU545" s="24"/>
      <c r="AV545" s="24"/>
      <c r="AW545" s="24"/>
      <c r="AX545" s="236"/>
      <c r="AY545" s="236"/>
      <c r="AZ545" s="236"/>
      <c r="BA545" s="236"/>
    </row>
    <row r="546" spans="1:53" s="51" customFormat="1" x14ac:dyDescent="0.2">
      <c r="A546" s="1"/>
      <c r="B546" s="2"/>
      <c r="C546" s="3"/>
      <c r="S546" s="131"/>
      <c r="T546" s="131"/>
      <c r="W546" s="23"/>
      <c r="X546" s="23"/>
      <c r="Y546" s="23"/>
      <c r="Z546" s="23"/>
      <c r="AA546" s="23"/>
      <c r="AB546" s="23"/>
      <c r="AC546" s="23"/>
      <c r="AD546" s="23"/>
      <c r="AE546" s="23"/>
      <c r="AF546" s="23"/>
      <c r="AG546" s="23"/>
      <c r="AH546" s="23"/>
      <c r="AI546" s="23"/>
      <c r="AJ546" s="23"/>
      <c r="AK546" s="23"/>
      <c r="AL546" s="23"/>
      <c r="AM546" s="1"/>
      <c r="AN546" s="1"/>
      <c r="AO546" s="1"/>
      <c r="AP546" s="1"/>
      <c r="AQ546" s="1"/>
      <c r="AR546" s="1"/>
      <c r="AS546" s="1"/>
      <c r="AT546" s="1"/>
      <c r="AU546" s="24"/>
      <c r="AV546" s="24"/>
      <c r="AW546" s="24"/>
      <c r="AX546" s="236"/>
      <c r="AY546" s="236"/>
      <c r="AZ546" s="236"/>
      <c r="BA546" s="236"/>
    </row>
    <row r="547" spans="1:53" s="51" customFormat="1" x14ac:dyDescent="0.2">
      <c r="A547" s="1"/>
      <c r="B547" s="2"/>
      <c r="C547" s="3"/>
      <c r="S547" s="131"/>
      <c r="T547" s="131"/>
      <c r="W547" s="23"/>
      <c r="X547" s="23"/>
      <c r="Y547" s="23"/>
      <c r="Z547" s="23"/>
      <c r="AA547" s="23"/>
      <c r="AB547" s="23"/>
      <c r="AC547" s="23"/>
      <c r="AD547" s="23"/>
      <c r="AE547" s="23"/>
      <c r="AF547" s="23"/>
      <c r="AG547" s="23"/>
      <c r="AH547" s="23"/>
      <c r="AI547" s="23"/>
      <c r="AJ547" s="23"/>
      <c r="AK547" s="23"/>
      <c r="AL547" s="23"/>
      <c r="AM547" s="1"/>
      <c r="AN547" s="1"/>
      <c r="AO547" s="1"/>
      <c r="AP547" s="1"/>
      <c r="AQ547" s="1"/>
      <c r="AR547" s="1"/>
      <c r="AS547" s="1"/>
      <c r="AT547" s="1"/>
      <c r="AU547" s="24"/>
      <c r="AV547" s="24"/>
      <c r="AW547" s="24"/>
      <c r="AX547" s="236"/>
      <c r="AY547" s="236"/>
      <c r="AZ547" s="236"/>
      <c r="BA547" s="236"/>
    </row>
    <row r="548" spans="1:53" s="51" customFormat="1" x14ac:dyDescent="0.2">
      <c r="A548" s="1"/>
      <c r="B548" s="2"/>
      <c r="C548" s="3"/>
      <c r="S548" s="131"/>
      <c r="T548" s="131"/>
      <c r="W548" s="23"/>
      <c r="X548" s="23"/>
      <c r="Y548" s="23"/>
      <c r="Z548" s="23"/>
      <c r="AA548" s="23"/>
      <c r="AB548" s="23"/>
      <c r="AC548" s="23"/>
      <c r="AD548" s="23"/>
      <c r="AE548" s="23"/>
      <c r="AF548" s="23"/>
      <c r="AG548" s="23"/>
      <c r="AH548" s="23"/>
      <c r="AI548" s="23"/>
      <c r="AJ548" s="23"/>
      <c r="AK548" s="23"/>
      <c r="AL548" s="23"/>
      <c r="AM548" s="1"/>
      <c r="AN548" s="1"/>
      <c r="AO548" s="1"/>
      <c r="AP548" s="1"/>
      <c r="AQ548" s="1"/>
      <c r="AR548" s="1"/>
      <c r="AS548" s="1"/>
      <c r="AT548" s="1"/>
      <c r="AU548" s="24"/>
      <c r="AV548" s="24"/>
      <c r="AW548" s="24"/>
      <c r="AX548" s="236"/>
      <c r="AY548" s="236"/>
      <c r="AZ548" s="236"/>
      <c r="BA548" s="236"/>
    </row>
    <row r="549" spans="1:53" s="51" customFormat="1" x14ac:dyDescent="0.2">
      <c r="A549" s="1"/>
      <c r="B549" s="2"/>
      <c r="C549" s="3"/>
      <c r="S549" s="131"/>
      <c r="T549" s="131"/>
      <c r="W549" s="23"/>
      <c r="X549" s="23"/>
      <c r="Y549" s="23"/>
      <c r="Z549" s="23"/>
      <c r="AA549" s="23"/>
      <c r="AB549" s="23"/>
      <c r="AC549" s="23"/>
      <c r="AD549" s="23"/>
      <c r="AE549" s="23"/>
      <c r="AF549" s="23"/>
      <c r="AG549" s="23"/>
      <c r="AH549" s="23"/>
      <c r="AI549" s="23"/>
      <c r="AJ549" s="23"/>
      <c r="AK549" s="23"/>
      <c r="AL549" s="23"/>
      <c r="AM549" s="1"/>
      <c r="AN549" s="1"/>
      <c r="AO549" s="1"/>
      <c r="AP549" s="1"/>
      <c r="AQ549" s="1"/>
      <c r="AR549" s="1"/>
      <c r="AS549" s="1"/>
      <c r="AT549" s="1"/>
      <c r="AU549" s="24"/>
      <c r="AV549" s="24"/>
      <c r="AW549" s="24"/>
      <c r="AX549" s="236"/>
      <c r="AY549" s="236"/>
      <c r="AZ549" s="236"/>
      <c r="BA549" s="236"/>
    </row>
    <row r="550" spans="1:53" s="51" customFormat="1" x14ac:dyDescent="0.2">
      <c r="A550" s="1"/>
      <c r="B550" s="2"/>
      <c r="C550" s="3"/>
      <c r="S550" s="131"/>
      <c r="T550" s="131"/>
      <c r="W550" s="23"/>
      <c r="X550" s="23"/>
      <c r="Y550" s="23"/>
      <c r="Z550" s="23"/>
      <c r="AA550" s="23"/>
      <c r="AB550" s="23"/>
      <c r="AC550" s="23"/>
      <c r="AD550" s="23"/>
      <c r="AE550" s="23"/>
      <c r="AF550" s="23"/>
      <c r="AG550" s="23"/>
      <c r="AH550" s="23"/>
      <c r="AI550" s="23"/>
      <c r="AJ550" s="23"/>
      <c r="AK550" s="23"/>
      <c r="AL550" s="23"/>
      <c r="AM550" s="1"/>
      <c r="AN550" s="1"/>
      <c r="AO550" s="1"/>
      <c r="AP550" s="1"/>
      <c r="AQ550" s="1"/>
      <c r="AR550" s="1"/>
      <c r="AS550" s="1"/>
      <c r="AT550" s="1"/>
      <c r="AU550" s="24"/>
      <c r="AV550" s="24"/>
      <c r="AW550" s="24"/>
      <c r="AX550" s="236"/>
      <c r="AY550" s="236"/>
      <c r="AZ550" s="236"/>
      <c r="BA550" s="236"/>
    </row>
    <row r="551" spans="1:53" s="51" customFormat="1" x14ac:dyDescent="0.2">
      <c r="A551" s="1"/>
      <c r="B551" s="2"/>
      <c r="C551" s="3"/>
      <c r="S551" s="131"/>
      <c r="T551" s="131"/>
      <c r="W551" s="23"/>
      <c r="X551" s="23"/>
      <c r="Y551" s="23"/>
      <c r="Z551" s="23"/>
      <c r="AA551" s="23"/>
      <c r="AB551" s="23"/>
      <c r="AC551" s="23"/>
      <c r="AD551" s="23"/>
      <c r="AE551" s="23"/>
      <c r="AF551" s="23"/>
      <c r="AG551" s="23"/>
      <c r="AH551" s="23"/>
      <c r="AI551" s="23"/>
      <c r="AJ551" s="23"/>
      <c r="AK551" s="23"/>
      <c r="AL551" s="23"/>
      <c r="AM551" s="1"/>
      <c r="AN551" s="1"/>
      <c r="AO551" s="1"/>
      <c r="AP551" s="1"/>
      <c r="AQ551" s="1"/>
      <c r="AR551" s="1"/>
      <c r="AS551" s="1"/>
      <c r="AT551" s="1"/>
      <c r="AU551" s="24"/>
      <c r="AV551" s="24"/>
      <c r="AW551" s="24"/>
      <c r="AX551" s="236"/>
      <c r="AY551" s="236"/>
      <c r="AZ551" s="236"/>
      <c r="BA551" s="236"/>
    </row>
    <row r="552" spans="1:53" s="51" customFormat="1" x14ac:dyDescent="0.2">
      <c r="A552" s="1"/>
      <c r="B552" s="2"/>
      <c r="C552" s="3"/>
      <c r="S552" s="131"/>
      <c r="T552" s="131"/>
      <c r="W552" s="23"/>
      <c r="X552" s="23"/>
      <c r="Y552" s="23"/>
      <c r="Z552" s="23"/>
      <c r="AA552" s="23"/>
      <c r="AB552" s="23"/>
      <c r="AC552" s="23"/>
      <c r="AD552" s="23"/>
      <c r="AE552" s="23"/>
      <c r="AF552" s="23"/>
      <c r="AG552" s="23"/>
      <c r="AH552" s="23"/>
      <c r="AI552" s="23"/>
      <c r="AJ552" s="23"/>
      <c r="AK552" s="23"/>
      <c r="AL552" s="23"/>
      <c r="AM552" s="1"/>
      <c r="AN552" s="1"/>
      <c r="AO552" s="1"/>
      <c r="AP552" s="1"/>
      <c r="AQ552" s="1"/>
      <c r="AR552" s="1"/>
      <c r="AS552" s="1"/>
      <c r="AT552" s="1"/>
      <c r="AU552" s="24"/>
      <c r="AV552" s="24"/>
      <c r="AW552" s="24"/>
      <c r="AX552" s="236"/>
      <c r="AY552" s="236"/>
      <c r="AZ552" s="236"/>
      <c r="BA552" s="236"/>
    </row>
    <row r="553" spans="1:53" s="51" customFormat="1" x14ac:dyDescent="0.2">
      <c r="A553" s="1"/>
      <c r="B553" s="2"/>
      <c r="C553" s="3"/>
      <c r="S553" s="131"/>
      <c r="T553" s="131"/>
      <c r="W553" s="23"/>
      <c r="X553" s="23"/>
      <c r="Y553" s="23"/>
      <c r="Z553" s="23"/>
      <c r="AA553" s="23"/>
      <c r="AB553" s="23"/>
      <c r="AC553" s="23"/>
      <c r="AD553" s="23"/>
      <c r="AE553" s="23"/>
      <c r="AF553" s="23"/>
      <c r="AG553" s="23"/>
      <c r="AH553" s="23"/>
      <c r="AI553" s="23"/>
      <c r="AJ553" s="23"/>
      <c r="AK553" s="23"/>
      <c r="AL553" s="23"/>
      <c r="AM553" s="1"/>
      <c r="AN553" s="1"/>
      <c r="AO553" s="1"/>
      <c r="AP553" s="1"/>
      <c r="AQ553" s="1"/>
      <c r="AR553" s="1"/>
      <c r="AS553" s="1"/>
      <c r="AT553" s="1"/>
      <c r="AU553" s="24"/>
      <c r="AV553" s="24"/>
      <c r="AW553" s="24"/>
      <c r="AX553" s="236"/>
      <c r="AY553" s="236"/>
      <c r="AZ553" s="236"/>
      <c r="BA553" s="236"/>
    </row>
    <row r="554" spans="1:53" s="51" customFormat="1" x14ac:dyDescent="0.2">
      <c r="A554" s="1"/>
      <c r="B554" s="2"/>
      <c r="C554" s="3"/>
      <c r="S554" s="131"/>
      <c r="T554" s="131"/>
      <c r="W554" s="23"/>
      <c r="X554" s="23"/>
      <c r="Y554" s="23"/>
      <c r="Z554" s="23"/>
      <c r="AA554" s="23"/>
      <c r="AB554" s="23"/>
      <c r="AC554" s="23"/>
      <c r="AD554" s="23"/>
      <c r="AE554" s="23"/>
      <c r="AF554" s="23"/>
      <c r="AG554" s="23"/>
      <c r="AH554" s="23"/>
      <c r="AI554" s="23"/>
      <c r="AJ554" s="23"/>
      <c r="AK554" s="23"/>
      <c r="AL554" s="23"/>
      <c r="AM554" s="1"/>
      <c r="AN554" s="1"/>
      <c r="AO554" s="1"/>
      <c r="AP554" s="1"/>
      <c r="AQ554" s="1"/>
      <c r="AR554" s="1"/>
      <c r="AS554" s="1"/>
      <c r="AT554" s="1"/>
      <c r="AU554" s="24"/>
      <c r="AV554" s="24"/>
      <c r="AW554" s="24"/>
      <c r="AX554" s="236"/>
      <c r="AY554" s="236"/>
      <c r="AZ554" s="236"/>
      <c r="BA554" s="236"/>
    </row>
    <row r="555" spans="1:53" s="51" customFormat="1" x14ac:dyDescent="0.2">
      <c r="A555" s="1"/>
      <c r="B555" s="2"/>
      <c r="C555" s="3"/>
      <c r="S555" s="131"/>
      <c r="T555" s="131"/>
      <c r="W555" s="23"/>
      <c r="X555" s="23"/>
      <c r="Y555" s="23"/>
      <c r="Z555" s="23"/>
      <c r="AA555" s="23"/>
      <c r="AB555" s="23"/>
      <c r="AC555" s="23"/>
      <c r="AD555" s="23"/>
      <c r="AE555" s="23"/>
      <c r="AF555" s="23"/>
      <c r="AG555" s="23"/>
      <c r="AH555" s="23"/>
      <c r="AI555" s="23"/>
      <c r="AJ555" s="23"/>
      <c r="AK555" s="23"/>
      <c r="AL555" s="23"/>
      <c r="AM555" s="1"/>
      <c r="AN555" s="1"/>
      <c r="AO555" s="1"/>
      <c r="AP555" s="1"/>
      <c r="AQ555" s="1"/>
      <c r="AR555" s="1"/>
      <c r="AS555" s="1"/>
      <c r="AT555" s="1"/>
      <c r="AU555" s="24"/>
      <c r="AV555" s="24"/>
      <c r="AW555" s="24"/>
      <c r="AX555" s="236"/>
      <c r="AY555" s="236"/>
      <c r="AZ555" s="236"/>
      <c r="BA555" s="236"/>
    </row>
    <row r="556" spans="1:53" s="51" customFormat="1" x14ac:dyDescent="0.2">
      <c r="A556" s="1"/>
      <c r="B556" s="2"/>
      <c r="C556" s="3"/>
      <c r="S556" s="131"/>
      <c r="T556" s="131"/>
      <c r="W556" s="23"/>
      <c r="X556" s="23"/>
      <c r="Y556" s="23"/>
      <c r="Z556" s="23"/>
      <c r="AA556" s="23"/>
      <c r="AB556" s="23"/>
      <c r="AC556" s="23"/>
      <c r="AD556" s="23"/>
      <c r="AE556" s="23"/>
      <c r="AF556" s="23"/>
      <c r="AG556" s="23"/>
      <c r="AH556" s="23"/>
      <c r="AI556" s="23"/>
      <c r="AJ556" s="23"/>
      <c r="AK556" s="23"/>
      <c r="AL556" s="23"/>
      <c r="AM556" s="1"/>
      <c r="AN556" s="1"/>
      <c r="AO556" s="1"/>
      <c r="AP556" s="1"/>
      <c r="AQ556" s="1"/>
      <c r="AR556" s="1"/>
      <c r="AS556" s="1"/>
      <c r="AT556" s="1"/>
      <c r="AU556" s="24"/>
      <c r="AV556" s="24"/>
      <c r="AW556" s="24"/>
      <c r="AX556" s="236"/>
      <c r="AY556" s="236"/>
      <c r="AZ556" s="236"/>
      <c r="BA556" s="236"/>
    </row>
    <row r="557" spans="1:53" s="51" customFormat="1" x14ac:dyDescent="0.2">
      <c r="A557" s="1"/>
      <c r="B557" s="2"/>
      <c r="C557" s="3"/>
      <c r="S557" s="131"/>
      <c r="T557" s="131"/>
      <c r="W557" s="23"/>
      <c r="X557" s="23"/>
      <c r="Y557" s="23"/>
      <c r="Z557" s="23"/>
      <c r="AA557" s="23"/>
      <c r="AB557" s="23"/>
      <c r="AC557" s="23"/>
      <c r="AD557" s="23"/>
      <c r="AE557" s="23"/>
      <c r="AF557" s="23"/>
      <c r="AG557" s="23"/>
      <c r="AH557" s="23"/>
      <c r="AI557" s="23"/>
      <c r="AJ557" s="23"/>
      <c r="AK557" s="23"/>
      <c r="AL557" s="23"/>
      <c r="AM557" s="1"/>
      <c r="AN557" s="1"/>
      <c r="AO557" s="1"/>
      <c r="AP557" s="1"/>
      <c r="AQ557" s="1"/>
      <c r="AR557" s="1"/>
      <c r="AS557" s="1"/>
      <c r="AT557" s="1"/>
      <c r="AU557" s="24"/>
      <c r="AV557" s="24"/>
      <c r="AW557" s="24"/>
      <c r="AX557" s="236"/>
      <c r="AY557" s="236"/>
      <c r="AZ557" s="236"/>
      <c r="BA557" s="236"/>
    </row>
    <row r="558" spans="1:53" s="51" customFormat="1" x14ac:dyDescent="0.2">
      <c r="A558" s="1"/>
      <c r="B558" s="2"/>
      <c r="C558" s="3"/>
      <c r="S558" s="131"/>
      <c r="T558" s="131"/>
      <c r="W558" s="23"/>
      <c r="X558" s="23"/>
      <c r="Y558" s="23"/>
      <c r="Z558" s="23"/>
      <c r="AA558" s="23"/>
      <c r="AB558" s="23"/>
      <c r="AC558" s="23"/>
      <c r="AD558" s="23"/>
      <c r="AE558" s="23"/>
      <c r="AF558" s="23"/>
      <c r="AG558" s="23"/>
      <c r="AH558" s="23"/>
      <c r="AI558" s="23"/>
      <c r="AJ558" s="23"/>
      <c r="AK558" s="23"/>
      <c r="AL558" s="23"/>
      <c r="AM558" s="1"/>
      <c r="AN558" s="1"/>
      <c r="AO558" s="1"/>
      <c r="AP558" s="1"/>
      <c r="AQ558" s="1"/>
      <c r="AR558" s="1"/>
      <c r="AS558" s="1"/>
      <c r="AT558" s="1"/>
      <c r="AU558" s="24"/>
      <c r="AV558" s="24"/>
      <c r="AW558" s="24"/>
      <c r="AX558" s="236"/>
      <c r="AY558" s="236"/>
      <c r="AZ558" s="236"/>
      <c r="BA558" s="236"/>
    </row>
    <row r="559" spans="1:53" s="51" customFormat="1" x14ac:dyDescent="0.2">
      <c r="A559" s="1"/>
      <c r="B559" s="2"/>
      <c r="C559" s="3"/>
      <c r="S559" s="131"/>
      <c r="T559" s="131"/>
      <c r="W559" s="23"/>
      <c r="X559" s="23"/>
      <c r="Y559" s="23"/>
      <c r="Z559" s="23"/>
      <c r="AA559" s="23"/>
      <c r="AB559" s="23"/>
      <c r="AC559" s="23"/>
      <c r="AD559" s="23"/>
      <c r="AE559" s="23"/>
      <c r="AF559" s="23"/>
      <c r="AG559" s="23"/>
      <c r="AH559" s="23"/>
      <c r="AI559" s="23"/>
      <c r="AJ559" s="23"/>
      <c r="AK559" s="23"/>
      <c r="AL559" s="23"/>
      <c r="AM559" s="1"/>
      <c r="AN559" s="1"/>
      <c r="AO559" s="1"/>
      <c r="AP559" s="1"/>
      <c r="AQ559" s="1"/>
      <c r="AR559" s="1"/>
      <c r="AS559" s="1"/>
      <c r="AT559" s="1"/>
      <c r="AU559" s="24"/>
      <c r="AV559" s="24"/>
      <c r="AW559" s="24"/>
      <c r="AX559" s="236"/>
      <c r="AY559" s="236"/>
      <c r="AZ559" s="236"/>
      <c r="BA559" s="236"/>
    </row>
  </sheetData>
  <conditionalFormatting sqref="C8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rintOptions horizontalCentered="1" gridLines="1"/>
  <pageMargins left="0" right="0" top="0.60073529400000003" bottom="0" header="0.05" footer="0.05"/>
  <pageSetup scale="62" orientation="portrait" r:id="rId1"/>
  <headerFooter alignWithMargins="0">
    <oddHeader>&amp;CStudent Life Fee Budget  for Fiscal Years 20- 24 as of 2/7/23
&amp;"-,Bold"&amp;K0000FFFY24 Proposed Student Life Budget</oddHeader>
    <oddFooter>&amp;L&amp;D&amp;R&amp;F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FY24 SFMC discussion 3-29-23 </vt:lpstr>
      <vt:lpstr>'FY24 SFMC discussion 3-29-23 '!Print_Area</vt:lpstr>
      <vt:lpstr>'FY24 SFMC discussion 3-29-23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Soppa, Melissa</dc:creator>
  <cp:lastModifiedBy>Soppa, Melissa</cp:lastModifiedBy>
  <dcterms:created xsi:type="dcterms:W3CDTF">2023-03-15T14:32:13Z</dcterms:created>
  <dcterms:modified xsi:type="dcterms:W3CDTF">2023-03-29T14:28:25Z</dcterms:modified>
</cp:coreProperties>
</file>